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933FFFB-3D46-44D8-8AA7-FB0DCB56ED02}" xr6:coauthVersionLast="47" xr6:coauthVersionMax="47" xr10:uidLastSave="{00000000-0000-0000-0000-000000000000}"/>
  <bookViews>
    <workbookView xWindow="-110" yWindow="-110" windowWidth="38620" windowHeight="21220" activeTab="3" xr2:uid="{1FE9F10F-8F2A-4184-8FB5-D85D468FD706}"/>
  </bookViews>
  <sheets>
    <sheet name="Abrechnungsformular" sheetId="4" r:id="rId1"/>
    <sheet name="Stundenaufzeichnung" sheetId="6" r:id="rId2"/>
    <sheet name="Übersicht Monate" sheetId="7" r:id="rId3"/>
    <sheet name="Dienste" sheetId="2" r:id="rId4"/>
    <sheet name="Regiezeiten" sheetId="8" r:id="rId5"/>
    <sheet name="Pause" sheetId="10" r:id="rId6"/>
    <sheet name="Datenblatt" sheetId="5" r:id="rId7"/>
    <sheet name="Daten" sheetId="3" r:id="rId8"/>
  </sheets>
  <definedNames>
    <definedName name="_xlnm._FilterDatabase" localSheetId="7" hidden="1">Daten!$I$1:$I$100</definedName>
    <definedName name="_xlnm.Criteria" localSheetId="7">Daten!$I$2:$I$100</definedName>
    <definedName name="_xlnm.Extract" localSheetId="7">Daten!$J$1</definedName>
    <definedName name="_xlnm.Print_Area" localSheetId="0">Abrechnungsformular!$C$1:$R$43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2" l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5" i="2"/>
  <c r="Z463" i="6"/>
  <c r="Y463" i="6"/>
  <c r="X463" i="6"/>
  <c r="W463" i="6"/>
  <c r="V463" i="6"/>
  <c r="U463" i="6"/>
  <c r="T463" i="6"/>
  <c r="S463" i="6"/>
  <c r="D463" i="6"/>
  <c r="Z462" i="6"/>
  <c r="Y462" i="6"/>
  <c r="X462" i="6"/>
  <c r="W462" i="6"/>
  <c r="V462" i="6"/>
  <c r="U462" i="6"/>
  <c r="T462" i="6"/>
  <c r="S462" i="6"/>
  <c r="D462" i="6"/>
  <c r="Z461" i="6"/>
  <c r="Y461" i="6"/>
  <c r="X461" i="6"/>
  <c r="W461" i="6"/>
  <c r="V461" i="6"/>
  <c r="U461" i="6"/>
  <c r="T461" i="6"/>
  <c r="S461" i="6"/>
  <c r="D461" i="6"/>
  <c r="Z460" i="6"/>
  <c r="Y460" i="6"/>
  <c r="X460" i="6"/>
  <c r="W460" i="6"/>
  <c r="V460" i="6"/>
  <c r="U460" i="6"/>
  <c r="T460" i="6"/>
  <c r="S460" i="6"/>
  <c r="D460" i="6"/>
  <c r="Z459" i="6"/>
  <c r="Y459" i="6"/>
  <c r="X459" i="6"/>
  <c r="W459" i="6"/>
  <c r="V459" i="6"/>
  <c r="U459" i="6"/>
  <c r="T459" i="6"/>
  <c r="S459" i="6"/>
  <c r="D459" i="6"/>
  <c r="Z458" i="6"/>
  <c r="Y458" i="6"/>
  <c r="X458" i="6"/>
  <c r="W458" i="6"/>
  <c r="V458" i="6"/>
  <c r="U458" i="6"/>
  <c r="T458" i="6"/>
  <c r="S458" i="6"/>
  <c r="D458" i="6"/>
  <c r="Z457" i="6"/>
  <c r="Y457" i="6"/>
  <c r="X457" i="6"/>
  <c r="W457" i="6"/>
  <c r="V457" i="6"/>
  <c r="U457" i="6"/>
  <c r="T457" i="6"/>
  <c r="S457" i="6"/>
  <c r="D457" i="6"/>
  <c r="Z456" i="6"/>
  <c r="Y456" i="6"/>
  <c r="X456" i="6"/>
  <c r="W456" i="6"/>
  <c r="V456" i="6"/>
  <c r="U456" i="6"/>
  <c r="T456" i="6"/>
  <c r="S456" i="6"/>
  <c r="D456" i="6"/>
  <c r="Z455" i="6"/>
  <c r="Y455" i="6"/>
  <c r="X455" i="6"/>
  <c r="W455" i="6"/>
  <c r="V455" i="6"/>
  <c r="U455" i="6"/>
  <c r="T455" i="6"/>
  <c r="S455" i="6"/>
  <c r="D455" i="6"/>
  <c r="Z454" i="6"/>
  <c r="Y454" i="6"/>
  <c r="X454" i="6"/>
  <c r="W454" i="6"/>
  <c r="V454" i="6"/>
  <c r="U454" i="6"/>
  <c r="T454" i="6"/>
  <c r="S454" i="6"/>
  <c r="D454" i="6"/>
  <c r="Z453" i="6"/>
  <c r="Y453" i="6"/>
  <c r="X453" i="6"/>
  <c r="W453" i="6"/>
  <c r="V453" i="6"/>
  <c r="U453" i="6"/>
  <c r="T453" i="6"/>
  <c r="S453" i="6"/>
  <c r="D453" i="6"/>
  <c r="Z452" i="6"/>
  <c r="Y452" i="6"/>
  <c r="X452" i="6"/>
  <c r="W452" i="6"/>
  <c r="V452" i="6"/>
  <c r="U452" i="6"/>
  <c r="T452" i="6"/>
  <c r="S452" i="6"/>
  <c r="D452" i="6"/>
  <c r="Z451" i="6"/>
  <c r="Y451" i="6"/>
  <c r="X451" i="6"/>
  <c r="W451" i="6"/>
  <c r="V451" i="6"/>
  <c r="U451" i="6"/>
  <c r="T451" i="6"/>
  <c r="S451" i="6"/>
  <c r="D451" i="6"/>
  <c r="Z450" i="6"/>
  <c r="Y450" i="6"/>
  <c r="X450" i="6"/>
  <c r="W450" i="6"/>
  <c r="V450" i="6"/>
  <c r="U450" i="6"/>
  <c r="T450" i="6"/>
  <c r="S450" i="6"/>
  <c r="D450" i="6"/>
  <c r="Z449" i="6"/>
  <c r="Y449" i="6"/>
  <c r="X449" i="6"/>
  <c r="W449" i="6"/>
  <c r="V449" i="6"/>
  <c r="U449" i="6"/>
  <c r="T449" i="6"/>
  <c r="S449" i="6"/>
  <c r="D449" i="6"/>
  <c r="Z448" i="6"/>
  <c r="Y448" i="6"/>
  <c r="X448" i="6"/>
  <c r="W448" i="6"/>
  <c r="V448" i="6"/>
  <c r="U448" i="6"/>
  <c r="T448" i="6"/>
  <c r="S448" i="6"/>
  <c r="D448" i="6"/>
  <c r="Z447" i="6"/>
  <c r="Y447" i="6"/>
  <c r="X447" i="6"/>
  <c r="W447" i="6"/>
  <c r="V447" i="6"/>
  <c r="U447" i="6"/>
  <c r="T447" i="6"/>
  <c r="S447" i="6"/>
  <c r="D447" i="6"/>
  <c r="Z446" i="6"/>
  <c r="Y446" i="6"/>
  <c r="X446" i="6"/>
  <c r="W446" i="6"/>
  <c r="V446" i="6"/>
  <c r="U446" i="6"/>
  <c r="T446" i="6"/>
  <c r="S446" i="6"/>
  <c r="D446" i="6"/>
  <c r="Z445" i="6"/>
  <c r="Y445" i="6"/>
  <c r="X445" i="6"/>
  <c r="W445" i="6"/>
  <c r="V445" i="6"/>
  <c r="U445" i="6"/>
  <c r="T445" i="6"/>
  <c r="S445" i="6"/>
  <c r="D445" i="6"/>
  <c r="Z444" i="6"/>
  <c r="Y444" i="6"/>
  <c r="X444" i="6"/>
  <c r="W444" i="6"/>
  <c r="V444" i="6"/>
  <c r="U444" i="6"/>
  <c r="T444" i="6"/>
  <c r="S444" i="6"/>
  <c r="D444" i="6"/>
  <c r="Z443" i="6"/>
  <c r="Y443" i="6"/>
  <c r="X443" i="6"/>
  <c r="W443" i="6"/>
  <c r="V443" i="6"/>
  <c r="U443" i="6"/>
  <c r="T443" i="6"/>
  <c r="S443" i="6"/>
  <c r="D443" i="6"/>
  <c r="Z442" i="6"/>
  <c r="Y442" i="6"/>
  <c r="X442" i="6"/>
  <c r="W442" i="6"/>
  <c r="V442" i="6"/>
  <c r="U442" i="6"/>
  <c r="T442" i="6"/>
  <c r="S442" i="6"/>
  <c r="D442" i="6"/>
  <c r="Z441" i="6"/>
  <c r="Y441" i="6"/>
  <c r="X441" i="6"/>
  <c r="W441" i="6"/>
  <c r="V441" i="6"/>
  <c r="U441" i="6"/>
  <c r="T441" i="6"/>
  <c r="S441" i="6"/>
  <c r="D441" i="6"/>
  <c r="Z440" i="6"/>
  <c r="Y440" i="6"/>
  <c r="X440" i="6"/>
  <c r="W440" i="6"/>
  <c r="V440" i="6"/>
  <c r="U440" i="6"/>
  <c r="T440" i="6"/>
  <c r="S440" i="6"/>
  <c r="D440" i="6"/>
  <c r="Z439" i="6"/>
  <c r="Y439" i="6"/>
  <c r="X439" i="6"/>
  <c r="W439" i="6"/>
  <c r="V439" i="6"/>
  <c r="U439" i="6"/>
  <c r="T439" i="6"/>
  <c r="S439" i="6"/>
  <c r="D439" i="6"/>
  <c r="Z438" i="6"/>
  <c r="Y438" i="6"/>
  <c r="X438" i="6"/>
  <c r="W438" i="6"/>
  <c r="V438" i="6"/>
  <c r="U438" i="6"/>
  <c r="T438" i="6"/>
  <c r="S438" i="6"/>
  <c r="D438" i="6"/>
  <c r="Z437" i="6"/>
  <c r="Y437" i="6"/>
  <c r="X437" i="6"/>
  <c r="W437" i="6"/>
  <c r="V437" i="6"/>
  <c r="U437" i="6"/>
  <c r="T437" i="6"/>
  <c r="S437" i="6"/>
  <c r="D437" i="6"/>
  <c r="Z436" i="6"/>
  <c r="Y436" i="6"/>
  <c r="X436" i="6"/>
  <c r="W436" i="6"/>
  <c r="V436" i="6"/>
  <c r="U436" i="6"/>
  <c r="T436" i="6"/>
  <c r="S436" i="6"/>
  <c r="D436" i="6"/>
  <c r="Z435" i="6"/>
  <c r="Y435" i="6"/>
  <c r="X435" i="6"/>
  <c r="W435" i="6"/>
  <c r="V435" i="6"/>
  <c r="U435" i="6"/>
  <c r="T435" i="6"/>
  <c r="S435" i="6"/>
  <c r="D435" i="6"/>
  <c r="Z434" i="6"/>
  <c r="Y434" i="6"/>
  <c r="X434" i="6"/>
  <c r="W434" i="6"/>
  <c r="V434" i="6"/>
  <c r="U434" i="6"/>
  <c r="T434" i="6"/>
  <c r="S434" i="6"/>
  <c r="D434" i="6"/>
  <c r="Z433" i="6"/>
  <c r="Y433" i="6"/>
  <c r="X433" i="6"/>
  <c r="W433" i="6"/>
  <c r="V433" i="6"/>
  <c r="U433" i="6"/>
  <c r="T433" i="6"/>
  <c r="S433" i="6"/>
  <c r="D433" i="6"/>
  <c r="A433" i="6"/>
  <c r="B433" i="6" s="1"/>
  <c r="F432" i="6"/>
  <c r="I430" i="6"/>
  <c r="Z424" i="6"/>
  <c r="Y424" i="6"/>
  <c r="X424" i="6"/>
  <c r="W424" i="6"/>
  <c r="V424" i="6"/>
  <c r="U424" i="6"/>
  <c r="T424" i="6"/>
  <c r="S424" i="6"/>
  <c r="D424" i="6"/>
  <c r="Z423" i="6"/>
  <c r="Y423" i="6"/>
  <c r="X423" i="6"/>
  <c r="W423" i="6"/>
  <c r="V423" i="6"/>
  <c r="U423" i="6"/>
  <c r="T423" i="6"/>
  <c r="S423" i="6"/>
  <c r="D423" i="6"/>
  <c r="Z422" i="6"/>
  <c r="Y422" i="6"/>
  <c r="X422" i="6"/>
  <c r="W422" i="6"/>
  <c r="V422" i="6"/>
  <c r="U422" i="6"/>
  <c r="T422" i="6"/>
  <c r="S422" i="6"/>
  <c r="D422" i="6"/>
  <c r="Z421" i="6"/>
  <c r="Y421" i="6"/>
  <c r="X421" i="6"/>
  <c r="W421" i="6"/>
  <c r="V421" i="6"/>
  <c r="U421" i="6"/>
  <c r="T421" i="6"/>
  <c r="S421" i="6"/>
  <c r="D421" i="6"/>
  <c r="Z420" i="6"/>
  <c r="Y420" i="6"/>
  <c r="X420" i="6"/>
  <c r="W420" i="6"/>
  <c r="V420" i="6"/>
  <c r="U420" i="6"/>
  <c r="T420" i="6"/>
  <c r="S420" i="6"/>
  <c r="D420" i="6"/>
  <c r="Z419" i="6"/>
  <c r="Y419" i="6"/>
  <c r="X419" i="6"/>
  <c r="W419" i="6"/>
  <c r="V419" i="6"/>
  <c r="U419" i="6"/>
  <c r="T419" i="6"/>
  <c r="S419" i="6"/>
  <c r="D419" i="6"/>
  <c r="Z418" i="6"/>
  <c r="Y418" i="6"/>
  <c r="X418" i="6"/>
  <c r="W418" i="6"/>
  <c r="V418" i="6"/>
  <c r="U418" i="6"/>
  <c r="T418" i="6"/>
  <c r="S418" i="6"/>
  <c r="D418" i="6"/>
  <c r="Z417" i="6"/>
  <c r="Y417" i="6"/>
  <c r="X417" i="6"/>
  <c r="W417" i="6"/>
  <c r="V417" i="6"/>
  <c r="U417" i="6"/>
  <c r="T417" i="6"/>
  <c r="S417" i="6"/>
  <c r="D417" i="6"/>
  <c r="Z416" i="6"/>
  <c r="Y416" i="6"/>
  <c r="X416" i="6"/>
  <c r="W416" i="6"/>
  <c r="V416" i="6"/>
  <c r="U416" i="6"/>
  <c r="T416" i="6"/>
  <c r="S416" i="6"/>
  <c r="D416" i="6"/>
  <c r="Z415" i="6"/>
  <c r="Y415" i="6"/>
  <c r="X415" i="6"/>
  <c r="W415" i="6"/>
  <c r="V415" i="6"/>
  <c r="U415" i="6"/>
  <c r="T415" i="6"/>
  <c r="S415" i="6"/>
  <c r="D415" i="6"/>
  <c r="Z414" i="6"/>
  <c r="Y414" i="6"/>
  <c r="X414" i="6"/>
  <c r="W414" i="6"/>
  <c r="V414" i="6"/>
  <c r="U414" i="6"/>
  <c r="T414" i="6"/>
  <c r="S414" i="6"/>
  <c r="D414" i="6"/>
  <c r="Z413" i="6"/>
  <c r="Y413" i="6"/>
  <c r="X413" i="6"/>
  <c r="W413" i="6"/>
  <c r="V413" i="6"/>
  <c r="U413" i="6"/>
  <c r="T413" i="6"/>
  <c r="S413" i="6"/>
  <c r="D413" i="6"/>
  <c r="Z412" i="6"/>
  <c r="Y412" i="6"/>
  <c r="X412" i="6"/>
  <c r="W412" i="6"/>
  <c r="V412" i="6"/>
  <c r="U412" i="6"/>
  <c r="T412" i="6"/>
  <c r="S412" i="6"/>
  <c r="D412" i="6"/>
  <c r="Z411" i="6"/>
  <c r="Y411" i="6"/>
  <c r="X411" i="6"/>
  <c r="W411" i="6"/>
  <c r="V411" i="6"/>
  <c r="U411" i="6"/>
  <c r="T411" i="6"/>
  <c r="S411" i="6"/>
  <c r="D411" i="6"/>
  <c r="Z410" i="6"/>
  <c r="Y410" i="6"/>
  <c r="X410" i="6"/>
  <c r="W410" i="6"/>
  <c r="V410" i="6"/>
  <c r="U410" i="6"/>
  <c r="T410" i="6"/>
  <c r="S410" i="6"/>
  <c r="D410" i="6"/>
  <c r="Z409" i="6"/>
  <c r="Y409" i="6"/>
  <c r="X409" i="6"/>
  <c r="W409" i="6"/>
  <c r="V409" i="6"/>
  <c r="U409" i="6"/>
  <c r="T409" i="6"/>
  <c r="S409" i="6"/>
  <c r="D409" i="6"/>
  <c r="Z408" i="6"/>
  <c r="Y408" i="6"/>
  <c r="X408" i="6"/>
  <c r="W408" i="6"/>
  <c r="V408" i="6"/>
  <c r="U408" i="6"/>
  <c r="T408" i="6"/>
  <c r="S408" i="6"/>
  <c r="D408" i="6"/>
  <c r="Z407" i="6"/>
  <c r="Y407" i="6"/>
  <c r="X407" i="6"/>
  <c r="W407" i="6"/>
  <c r="V407" i="6"/>
  <c r="U407" i="6"/>
  <c r="T407" i="6"/>
  <c r="S407" i="6"/>
  <c r="D407" i="6"/>
  <c r="Z406" i="6"/>
  <c r="Y406" i="6"/>
  <c r="X406" i="6"/>
  <c r="W406" i="6"/>
  <c r="V406" i="6"/>
  <c r="U406" i="6"/>
  <c r="T406" i="6"/>
  <c r="S406" i="6"/>
  <c r="D406" i="6"/>
  <c r="Z405" i="6"/>
  <c r="Y405" i="6"/>
  <c r="X405" i="6"/>
  <c r="W405" i="6"/>
  <c r="V405" i="6"/>
  <c r="U405" i="6"/>
  <c r="T405" i="6"/>
  <c r="S405" i="6"/>
  <c r="D405" i="6"/>
  <c r="Z404" i="6"/>
  <c r="Y404" i="6"/>
  <c r="X404" i="6"/>
  <c r="W404" i="6"/>
  <c r="V404" i="6"/>
  <c r="U404" i="6"/>
  <c r="T404" i="6"/>
  <c r="S404" i="6"/>
  <c r="D404" i="6"/>
  <c r="Z403" i="6"/>
  <c r="Y403" i="6"/>
  <c r="X403" i="6"/>
  <c r="W403" i="6"/>
  <c r="V403" i="6"/>
  <c r="U403" i="6"/>
  <c r="T403" i="6"/>
  <c r="S403" i="6"/>
  <c r="D403" i="6"/>
  <c r="Z402" i="6"/>
  <c r="Y402" i="6"/>
  <c r="X402" i="6"/>
  <c r="W402" i="6"/>
  <c r="V402" i="6"/>
  <c r="U402" i="6"/>
  <c r="T402" i="6"/>
  <c r="S402" i="6"/>
  <c r="D402" i="6"/>
  <c r="Z401" i="6"/>
  <c r="Y401" i="6"/>
  <c r="X401" i="6"/>
  <c r="W401" i="6"/>
  <c r="V401" i="6"/>
  <c r="U401" i="6"/>
  <c r="T401" i="6"/>
  <c r="S401" i="6"/>
  <c r="D401" i="6"/>
  <c r="Z400" i="6"/>
  <c r="Y400" i="6"/>
  <c r="X400" i="6"/>
  <c r="W400" i="6"/>
  <c r="V400" i="6"/>
  <c r="U400" i="6"/>
  <c r="T400" i="6"/>
  <c r="S400" i="6"/>
  <c r="D400" i="6"/>
  <c r="Z399" i="6"/>
  <c r="Y399" i="6"/>
  <c r="X399" i="6"/>
  <c r="W399" i="6"/>
  <c r="V399" i="6"/>
  <c r="U399" i="6"/>
  <c r="T399" i="6"/>
  <c r="S399" i="6"/>
  <c r="D399" i="6"/>
  <c r="Z398" i="6"/>
  <c r="Y398" i="6"/>
  <c r="X398" i="6"/>
  <c r="W398" i="6"/>
  <c r="V398" i="6"/>
  <c r="U398" i="6"/>
  <c r="T398" i="6"/>
  <c r="S398" i="6"/>
  <c r="D398" i="6"/>
  <c r="Z397" i="6"/>
  <c r="Y397" i="6"/>
  <c r="X397" i="6"/>
  <c r="W397" i="6"/>
  <c r="V397" i="6"/>
  <c r="U397" i="6"/>
  <c r="T397" i="6"/>
  <c r="S397" i="6"/>
  <c r="D397" i="6"/>
  <c r="Z396" i="6"/>
  <c r="Y396" i="6"/>
  <c r="X396" i="6"/>
  <c r="W396" i="6"/>
  <c r="V396" i="6"/>
  <c r="U396" i="6"/>
  <c r="T396" i="6"/>
  <c r="S396" i="6"/>
  <c r="D396" i="6"/>
  <c r="Z395" i="6"/>
  <c r="Y395" i="6"/>
  <c r="X395" i="6"/>
  <c r="W395" i="6"/>
  <c r="V395" i="6"/>
  <c r="U395" i="6"/>
  <c r="T395" i="6"/>
  <c r="S395" i="6"/>
  <c r="D395" i="6"/>
  <c r="Z394" i="6"/>
  <c r="Y394" i="6"/>
  <c r="X394" i="6"/>
  <c r="W394" i="6"/>
  <c r="V394" i="6"/>
  <c r="U394" i="6"/>
  <c r="T394" i="6"/>
  <c r="S394" i="6"/>
  <c r="D394" i="6"/>
  <c r="A394" i="6"/>
  <c r="B394" i="6" s="1"/>
  <c r="F393" i="6"/>
  <c r="I391" i="6"/>
  <c r="Z385" i="6"/>
  <c r="Y385" i="6"/>
  <c r="X385" i="6"/>
  <c r="W385" i="6"/>
  <c r="V385" i="6"/>
  <c r="U385" i="6"/>
  <c r="T385" i="6"/>
  <c r="S385" i="6"/>
  <c r="D385" i="6"/>
  <c r="Z384" i="6"/>
  <c r="Y384" i="6"/>
  <c r="X384" i="6"/>
  <c r="W384" i="6"/>
  <c r="V384" i="6"/>
  <c r="U384" i="6"/>
  <c r="T384" i="6"/>
  <c r="S384" i="6"/>
  <c r="D384" i="6"/>
  <c r="Z383" i="6"/>
  <c r="Y383" i="6"/>
  <c r="X383" i="6"/>
  <c r="W383" i="6"/>
  <c r="V383" i="6"/>
  <c r="U383" i="6"/>
  <c r="T383" i="6"/>
  <c r="S383" i="6"/>
  <c r="D383" i="6"/>
  <c r="Z382" i="6"/>
  <c r="Y382" i="6"/>
  <c r="X382" i="6"/>
  <c r="W382" i="6"/>
  <c r="V382" i="6"/>
  <c r="U382" i="6"/>
  <c r="T382" i="6"/>
  <c r="S382" i="6"/>
  <c r="D382" i="6"/>
  <c r="Z381" i="6"/>
  <c r="Y381" i="6"/>
  <c r="X381" i="6"/>
  <c r="W381" i="6"/>
  <c r="V381" i="6"/>
  <c r="U381" i="6"/>
  <c r="T381" i="6"/>
  <c r="S381" i="6"/>
  <c r="D381" i="6"/>
  <c r="Z380" i="6"/>
  <c r="Y380" i="6"/>
  <c r="X380" i="6"/>
  <c r="W380" i="6"/>
  <c r="V380" i="6"/>
  <c r="U380" i="6"/>
  <c r="T380" i="6"/>
  <c r="S380" i="6"/>
  <c r="D380" i="6"/>
  <c r="Z379" i="6"/>
  <c r="Y379" i="6"/>
  <c r="X379" i="6"/>
  <c r="W379" i="6"/>
  <c r="V379" i="6"/>
  <c r="U379" i="6"/>
  <c r="T379" i="6"/>
  <c r="S379" i="6"/>
  <c r="D379" i="6"/>
  <c r="Z378" i="6"/>
  <c r="Y378" i="6"/>
  <c r="X378" i="6"/>
  <c r="W378" i="6"/>
  <c r="V378" i="6"/>
  <c r="U378" i="6"/>
  <c r="T378" i="6"/>
  <c r="S378" i="6"/>
  <c r="D378" i="6"/>
  <c r="Z377" i="6"/>
  <c r="Y377" i="6"/>
  <c r="X377" i="6"/>
  <c r="W377" i="6"/>
  <c r="V377" i="6"/>
  <c r="U377" i="6"/>
  <c r="T377" i="6"/>
  <c r="S377" i="6"/>
  <c r="D377" i="6"/>
  <c r="Z376" i="6"/>
  <c r="Y376" i="6"/>
  <c r="X376" i="6"/>
  <c r="W376" i="6"/>
  <c r="V376" i="6"/>
  <c r="U376" i="6"/>
  <c r="T376" i="6"/>
  <c r="S376" i="6"/>
  <c r="D376" i="6"/>
  <c r="Z375" i="6"/>
  <c r="Y375" i="6"/>
  <c r="X375" i="6"/>
  <c r="W375" i="6"/>
  <c r="V375" i="6"/>
  <c r="U375" i="6"/>
  <c r="T375" i="6"/>
  <c r="S375" i="6"/>
  <c r="D375" i="6"/>
  <c r="Z374" i="6"/>
  <c r="Y374" i="6"/>
  <c r="X374" i="6"/>
  <c r="W374" i="6"/>
  <c r="V374" i="6"/>
  <c r="U374" i="6"/>
  <c r="T374" i="6"/>
  <c r="S374" i="6"/>
  <c r="D374" i="6"/>
  <c r="Z373" i="6"/>
  <c r="Y373" i="6"/>
  <c r="X373" i="6"/>
  <c r="W373" i="6"/>
  <c r="V373" i="6"/>
  <c r="U373" i="6"/>
  <c r="T373" i="6"/>
  <c r="S373" i="6"/>
  <c r="D373" i="6"/>
  <c r="Z372" i="6"/>
  <c r="Y372" i="6"/>
  <c r="X372" i="6"/>
  <c r="W372" i="6"/>
  <c r="V372" i="6"/>
  <c r="U372" i="6"/>
  <c r="T372" i="6"/>
  <c r="S372" i="6"/>
  <c r="D372" i="6"/>
  <c r="Z371" i="6"/>
  <c r="Y371" i="6"/>
  <c r="X371" i="6"/>
  <c r="W371" i="6"/>
  <c r="V371" i="6"/>
  <c r="U371" i="6"/>
  <c r="T371" i="6"/>
  <c r="S371" i="6"/>
  <c r="D371" i="6"/>
  <c r="Z370" i="6"/>
  <c r="Y370" i="6"/>
  <c r="X370" i="6"/>
  <c r="W370" i="6"/>
  <c r="V370" i="6"/>
  <c r="U370" i="6"/>
  <c r="T370" i="6"/>
  <c r="S370" i="6"/>
  <c r="D370" i="6"/>
  <c r="Z369" i="6"/>
  <c r="Y369" i="6"/>
  <c r="X369" i="6"/>
  <c r="W369" i="6"/>
  <c r="V369" i="6"/>
  <c r="U369" i="6"/>
  <c r="T369" i="6"/>
  <c r="S369" i="6"/>
  <c r="D369" i="6"/>
  <c r="Z368" i="6"/>
  <c r="Y368" i="6"/>
  <c r="X368" i="6"/>
  <c r="W368" i="6"/>
  <c r="V368" i="6"/>
  <c r="U368" i="6"/>
  <c r="T368" i="6"/>
  <c r="S368" i="6"/>
  <c r="D368" i="6"/>
  <c r="Z367" i="6"/>
  <c r="Y367" i="6"/>
  <c r="X367" i="6"/>
  <c r="W367" i="6"/>
  <c r="V367" i="6"/>
  <c r="U367" i="6"/>
  <c r="T367" i="6"/>
  <c r="S367" i="6"/>
  <c r="D367" i="6"/>
  <c r="Z366" i="6"/>
  <c r="Y366" i="6"/>
  <c r="X366" i="6"/>
  <c r="W366" i="6"/>
  <c r="V366" i="6"/>
  <c r="U366" i="6"/>
  <c r="T366" i="6"/>
  <c r="S366" i="6"/>
  <c r="D366" i="6"/>
  <c r="Z365" i="6"/>
  <c r="Y365" i="6"/>
  <c r="X365" i="6"/>
  <c r="W365" i="6"/>
  <c r="V365" i="6"/>
  <c r="U365" i="6"/>
  <c r="T365" i="6"/>
  <c r="S365" i="6"/>
  <c r="D365" i="6"/>
  <c r="Z364" i="6"/>
  <c r="Y364" i="6"/>
  <c r="X364" i="6"/>
  <c r="W364" i="6"/>
  <c r="V364" i="6"/>
  <c r="U364" i="6"/>
  <c r="T364" i="6"/>
  <c r="S364" i="6"/>
  <c r="D364" i="6"/>
  <c r="Z363" i="6"/>
  <c r="Y363" i="6"/>
  <c r="X363" i="6"/>
  <c r="W363" i="6"/>
  <c r="V363" i="6"/>
  <c r="U363" i="6"/>
  <c r="T363" i="6"/>
  <c r="S363" i="6"/>
  <c r="D363" i="6"/>
  <c r="Z362" i="6"/>
  <c r="Y362" i="6"/>
  <c r="X362" i="6"/>
  <c r="W362" i="6"/>
  <c r="V362" i="6"/>
  <c r="U362" i="6"/>
  <c r="T362" i="6"/>
  <c r="S362" i="6"/>
  <c r="D362" i="6"/>
  <c r="Z361" i="6"/>
  <c r="Y361" i="6"/>
  <c r="X361" i="6"/>
  <c r="W361" i="6"/>
  <c r="V361" i="6"/>
  <c r="U361" i="6"/>
  <c r="T361" i="6"/>
  <c r="S361" i="6"/>
  <c r="D361" i="6"/>
  <c r="Z360" i="6"/>
  <c r="Y360" i="6"/>
  <c r="X360" i="6"/>
  <c r="W360" i="6"/>
  <c r="V360" i="6"/>
  <c r="U360" i="6"/>
  <c r="T360" i="6"/>
  <c r="S360" i="6"/>
  <c r="D360" i="6"/>
  <c r="Z359" i="6"/>
  <c r="Y359" i="6"/>
  <c r="X359" i="6"/>
  <c r="W359" i="6"/>
  <c r="V359" i="6"/>
  <c r="U359" i="6"/>
  <c r="T359" i="6"/>
  <c r="S359" i="6"/>
  <c r="D359" i="6"/>
  <c r="Z358" i="6"/>
  <c r="Y358" i="6"/>
  <c r="X358" i="6"/>
  <c r="W358" i="6"/>
  <c r="V358" i="6"/>
  <c r="U358" i="6"/>
  <c r="T358" i="6"/>
  <c r="S358" i="6"/>
  <c r="D358" i="6"/>
  <c r="Z357" i="6"/>
  <c r="Y357" i="6"/>
  <c r="X357" i="6"/>
  <c r="W357" i="6"/>
  <c r="V357" i="6"/>
  <c r="U357" i="6"/>
  <c r="T357" i="6"/>
  <c r="S357" i="6"/>
  <c r="D357" i="6"/>
  <c r="Z356" i="6"/>
  <c r="Y356" i="6"/>
  <c r="X356" i="6"/>
  <c r="W356" i="6"/>
  <c r="V356" i="6"/>
  <c r="U356" i="6"/>
  <c r="T356" i="6"/>
  <c r="S356" i="6"/>
  <c r="D356" i="6"/>
  <c r="Z355" i="6"/>
  <c r="Y355" i="6"/>
  <c r="X355" i="6"/>
  <c r="W355" i="6"/>
  <c r="V355" i="6"/>
  <c r="U355" i="6"/>
  <c r="T355" i="6"/>
  <c r="S355" i="6"/>
  <c r="D355" i="6"/>
  <c r="A355" i="6"/>
  <c r="B355" i="6" s="1"/>
  <c r="F354" i="6"/>
  <c r="I352" i="6"/>
  <c r="Z346" i="6"/>
  <c r="Y346" i="6"/>
  <c r="X346" i="6"/>
  <c r="W346" i="6"/>
  <c r="V346" i="6"/>
  <c r="U346" i="6"/>
  <c r="T346" i="6"/>
  <c r="S346" i="6"/>
  <c r="D346" i="6"/>
  <c r="Z345" i="6"/>
  <c r="Y345" i="6"/>
  <c r="X345" i="6"/>
  <c r="W345" i="6"/>
  <c r="V345" i="6"/>
  <c r="U345" i="6"/>
  <c r="T345" i="6"/>
  <c r="S345" i="6"/>
  <c r="D345" i="6"/>
  <c r="Z344" i="6"/>
  <c r="Y344" i="6"/>
  <c r="X344" i="6"/>
  <c r="W344" i="6"/>
  <c r="V344" i="6"/>
  <c r="U344" i="6"/>
  <c r="T344" i="6"/>
  <c r="S344" i="6"/>
  <c r="D344" i="6"/>
  <c r="Z343" i="6"/>
  <c r="Y343" i="6"/>
  <c r="X343" i="6"/>
  <c r="W343" i="6"/>
  <c r="V343" i="6"/>
  <c r="U343" i="6"/>
  <c r="T343" i="6"/>
  <c r="S343" i="6"/>
  <c r="D343" i="6"/>
  <c r="Z342" i="6"/>
  <c r="Y342" i="6"/>
  <c r="X342" i="6"/>
  <c r="W342" i="6"/>
  <c r="V342" i="6"/>
  <c r="U342" i="6"/>
  <c r="T342" i="6"/>
  <c r="S342" i="6"/>
  <c r="D342" i="6"/>
  <c r="Z341" i="6"/>
  <c r="Y341" i="6"/>
  <c r="X341" i="6"/>
  <c r="W341" i="6"/>
  <c r="V341" i="6"/>
  <c r="U341" i="6"/>
  <c r="T341" i="6"/>
  <c r="S341" i="6"/>
  <c r="D341" i="6"/>
  <c r="Z340" i="6"/>
  <c r="Y340" i="6"/>
  <c r="X340" i="6"/>
  <c r="W340" i="6"/>
  <c r="V340" i="6"/>
  <c r="U340" i="6"/>
  <c r="T340" i="6"/>
  <c r="S340" i="6"/>
  <c r="D340" i="6"/>
  <c r="Z339" i="6"/>
  <c r="Y339" i="6"/>
  <c r="X339" i="6"/>
  <c r="W339" i="6"/>
  <c r="V339" i="6"/>
  <c r="U339" i="6"/>
  <c r="T339" i="6"/>
  <c r="S339" i="6"/>
  <c r="D339" i="6"/>
  <c r="Z338" i="6"/>
  <c r="Y338" i="6"/>
  <c r="X338" i="6"/>
  <c r="W338" i="6"/>
  <c r="V338" i="6"/>
  <c r="U338" i="6"/>
  <c r="T338" i="6"/>
  <c r="S338" i="6"/>
  <c r="D338" i="6"/>
  <c r="Z337" i="6"/>
  <c r="Y337" i="6"/>
  <c r="X337" i="6"/>
  <c r="W337" i="6"/>
  <c r="V337" i="6"/>
  <c r="U337" i="6"/>
  <c r="T337" i="6"/>
  <c r="S337" i="6"/>
  <c r="D337" i="6"/>
  <c r="Z336" i="6"/>
  <c r="Y336" i="6"/>
  <c r="X336" i="6"/>
  <c r="W336" i="6"/>
  <c r="V336" i="6"/>
  <c r="U336" i="6"/>
  <c r="T336" i="6"/>
  <c r="S336" i="6"/>
  <c r="D336" i="6"/>
  <c r="Z335" i="6"/>
  <c r="Y335" i="6"/>
  <c r="X335" i="6"/>
  <c r="W335" i="6"/>
  <c r="V335" i="6"/>
  <c r="U335" i="6"/>
  <c r="T335" i="6"/>
  <c r="S335" i="6"/>
  <c r="D335" i="6"/>
  <c r="Z334" i="6"/>
  <c r="Y334" i="6"/>
  <c r="X334" i="6"/>
  <c r="W334" i="6"/>
  <c r="V334" i="6"/>
  <c r="U334" i="6"/>
  <c r="T334" i="6"/>
  <c r="S334" i="6"/>
  <c r="D334" i="6"/>
  <c r="Z333" i="6"/>
  <c r="Y333" i="6"/>
  <c r="X333" i="6"/>
  <c r="W333" i="6"/>
  <c r="V333" i="6"/>
  <c r="U333" i="6"/>
  <c r="T333" i="6"/>
  <c r="S333" i="6"/>
  <c r="D333" i="6"/>
  <c r="Z332" i="6"/>
  <c r="Y332" i="6"/>
  <c r="X332" i="6"/>
  <c r="W332" i="6"/>
  <c r="V332" i="6"/>
  <c r="U332" i="6"/>
  <c r="T332" i="6"/>
  <c r="S332" i="6"/>
  <c r="D332" i="6"/>
  <c r="Z331" i="6"/>
  <c r="Y331" i="6"/>
  <c r="X331" i="6"/>
  <c r="W331" i="6"/>
  <c r="V331" i="6"/>
  <c r="U331" i="6"/>
  <c r="T331" i="6"/>
  <c r="S331" i="6"/>
  <c r="D331" i="6"/>
  <c r="Z330" i="6"/>
  <c r="Y330" i="6"/>
  <c r="X330" i="6"/>
  <c r="W330" i="6"/>
  <c r="V330" i="6"/>
  <c r="U330" i="6"/>
  <c r="T330" i="6"/>
  <c r="S330" i="6"/>
  <c r="D330" i="6"/>
  <c r="Z329" i="6"/>
  <c r="Y329" i="6"/>
  <c r="X329" i="6"/>
  <c r="W329" i="6"/>
  <c r="V329" i="6"/>
  <c r="U329" i="6"/>
  <c r="T329" i="6"/>
  <c r="S329" i="6"/>
  <c r="D329" i="6"/>
  <c r="Z328" i="6"/>
  <c r="Y328" i="6"/>
  <c r="X328" i="6"/>
  <c r="W328" i="6"/>
  <c r="V328" i="6"/>
  <c r="U328" i="6"/>
  <c r="T328" i="6"/>
  <c r="S328" i="6"/>
  <c r="D328" i="6"/>
  <c r="Z327" i="6"/>
  <c r="Y327" i="6"/>
  <c r="X327" i="6"/>
  <c r="W327" i="6"/>
  <c r="V327" i="6"/>
  <c r="U327" i="6"/>
  <c r="T327" i="6"/>
  <c r="S327" i="6"/>
  <c r="D327" i="6"/>
  <c r="Z326" i="6"/>
  <c r="Y326" i="6"/>
  <c r="X326" i="6"/>
  <c r="W326" i="6"/>
  <c r="V326" i="6"/>
  <c r="U326" i="6"/>
  <c r="T326" i="6"/>
  <c r="S326" i="6"/>
  <c r="D326" i="6"/>
  <c r="Z325" i="6"/>
  <c r="Y325" i="6"/>
  <c r="X325" i="6"/>
  <c r="W325" i="6"/>
  <c r="V325" i="6"/>
  <c r="U325" i="6"/>
  <c r="T325" i="6"/>
  <c r="S325" i="6"/>
  <c r="D325" i="6"/>
  <c r="Z324" i="6"/>
  <c r="Y324" i="6"/>
  <c r="X324" i="6"/>
  <c r="W324" i="6"/>
  <c r="V324" i="6"/>
  <c r="U324" i="6"/>
  <c r="T324" i="6"/>
  <c r="S324" i="6"/>
  <c r="D324" i="6"/>
  <c r="Z323" i="6"/>
  <c r="Y323" i="6"/>
  <c r="X323" i="6"/>
  <c r="W323" i="6"/>
  <c r="V323" i="6"/>
  <c r="U323" i="6"/>
  <c r="T323" i="6"/>
  <c r="S323" i="6"/>
  <c r="D323" i="6"/>
  <c r="Z322" i="6"/>
  <c r="Y322" i="6"/>
  <c r="X322" i="6"/>
  <c r="W322" i="6"/>
  <c r="V322" i="6"/>
  <c r="U322" i="6"/>
  <c r="T322" i="6"/>
  <c r="S322" i="6"/>
  <c r="D322" i="6"/>
  <c r="Z321" i="6"/>
  <c r="Y321" i="6"/>
  <c r="X321" i="6"/>
  <c r="W321" i="6"/>
  <c r="V321" i="6"/>
  <c r="U321" i="6"/>
  <c r="T321" i="6"/>
  <c r="S321" i="6"/>
  <c r="D321" i="6"/>
  <c r="Z320" i="6"/>
  <c r="Y320" i="6"/>
  <c r="X320" i="6"/>
  <c r="W320" i="6"/>
  <c r="V320" i="6"/>
  <c r="U320" i="6"/>
  <c r="T320" i="6"/>
  <c r="S320" i="6"/>
  <c r="D320" i="6"/>
  <c r="Z319" i="6"/>
  <c r="Y319" i="6"/>
  <c r="X319" i="6"/>
  <c r="W319" i="6"/>
  <c r="V319" i="6"/>
  <c r="U319" i="6"/>
  <c r="T319" i="6"/>
  <c r="S319" i="6"/>
  <c r="D319" i="6"/>
  <c r="Z318" i="6"/>
  <c r="Y318" i="6"/>
  <c r="X318" i="6"/>
  <c r="W318" i="6"/>
  <c r="V318" i="6"/>
  <c r="U318" i="6"/>
  <c r="T318" i="6"/>
  <c r="S318" i="6"/>
  <c r="D318" i="6"/>
  <c r="Z317" i="6"/>
  <c r="Y317" i="6"/>
  <c r="X317" i="6"/>
  <c r="W317" i="6"/>
  <c r="V317" i="6"/>
  <c r="U317" i="6"/>
  <c r="T317" i="6"/>
  <c r="S317" i="6"/>
  <c r="F317" i="6"/>
  <c r="E317" i="6"/>
  <c r="D317" i="6"/>
  <c r="B317" i="6"/>
  <c r="B318" i="6" s="1"/>
  <c r="AB316" i="6"/>
  <c r="Z316" i="6"/>
  <c r="Y316" i="6"/>
  <c r="X316" i="6"/>
  <c r="W316" i="6"/>
  <c r="V316" i="6"/>
  <c r="U316" i="6"/>
  <c r="T316" i="6"/>
  <c r="S316" i="6"/>
  <c r="I316" i="6"/>
  <c r="R316" i="6" s="1"/>
  <c r="E316" i="6"/>
  <c r="G316" i="6" s="1"/>
  <c r="H316" i="6" s="1"/>
  <c r="D316" i="6"/>
  <c r="B316" i="6"/>
  <c r="B348" i="6" s="1"/>
  <c r="A316" i="6"/>
  <c r="F315" i="6"/>
  <c r="T313" i="6"/>
  <c r="I313" i="6"/>
  <c r="Z307" i="6"/>
  <c r="Y307" i="6"/>
  <c r="X307" i="6"/>
  <c r="W307" i="6"/>
  <c r="V307" i="6"/>
  <c r="U307" i="6"/>
  <c r="T307" i="6"/>
  <c r="S307" i="6"/>
  <c r="D307" i="6"/>
  <c r="Z306" i="6"/>
  <c r="Y306" i="6"/>
  <c r="X306" i="6"/>
  <c r="W306" i="6"/>
  <c r="V306" i="6"/>
  <c r="U306" i="6"/>
  <c r="T306" i="6"/>
  <c r="S306" i="6"/>
  <c r="D306" i="6"/>
  <c r="Z305" i="6"/>
  <c r="Y305" i="6"/>
  <c r="X305" i="6"/>
  <c r="W305" i="6"/>
  <c r="V305" i="6"/>
  <c r="U305" i="6"/>
  <c r="T305" i="6"/>
  <c r="S305" i="6"/>
  <c r="D305" i="6"/>
  <c r="Z304" i="6"/>
  <c r="Y304" i="6"/>
  <c r="X304" i="6"/>
  <c r="W304" i="6"/>
  <c r="V304" i="6"/>
  <c r="U304" i="6"/>
  <c r="T304" i="6"/>
  <c r="S304" i="6"/>
  <c r="D304" i="6"/>
  <c r="Z303" i="6"/>
  <c r="Y303" i="6"/>
  <c r="X303" i="6"/>
  <c r="W303" i="6"/>
  <c r="V303" i="6"/>
  <c r="U303" i="6"/>
  <c r="T303" i="6"/>
  <c r="S303" i="6"/>
  <c r="D303" i="6"/>
  <c r="Z302" i="6"/>
  <c r="Y302" i="6"/>
  <c r="X302" i="6"/>
  <c r="W302" i="6"/>
  <c r="V302" i="6"/>
  <c r="U302" i="6"/>
  <c r="T302" i="6"/>
  <c r="S302" i="6"/>
  <c r="D302" i="6"/>
  <c r="Z301" i="6"/>
  <c r="Y301" i="6"/>
  <c r="X301" i="6"/>
  <c r="W301" i="6"/>
  <c r="V301" i="6"/>
  <c r="U301" i="6"/>
  <c r="T301" i="6"/>
  <c r="S301" i="6"/>
  <c r="D301" i="6"/>
  <c r="Z300" i="6"/>
  <c r="Y300" i="6"/>
  <c r="X300" i="6"/>
  <c r="W300" i="6"/>
  <c r="V300" i="6"/>
  <c r="U300" i="6"/>
  <c r="T300" i="6"/>
  <c r="S300" i="6"/>
  <c r="D300" i="6"/>
  <c r="Z299" i="6"/>
  <c r="Y299" i="6"/>
  <c r="X299" i="6"/>
  <c r="W299" i="6"/>
  <c r="V299" i="6"/>
  <c r="U299" i="6"/>
  <c r="T299" i="6"/>
  <c r="S299" i="6"/>
  <c r="D299" i="6"/>
  <c r="Z298" i="6"/>
  <c r="Y298" i="6"/>
  <c r="X298" i="6"/>
  <c r="W298" i="6"/>
  <c r="V298" i="6"/>
  <c r="U298" i="6"/>
  <c r="T298" i="6"/>
  <c r="S298" i="6"/>
  <c r="D298" i="6"/>
  <c r="Z297" i="6"/>
  <c r="Y297" i="6"/>
  <c r="X297" i="6"/>
  <c r="W297" i="6"/>
  <c r="V297" i="6"/>
  <c r="U297" i="6"/>
  <c r="T297" i="6"/>
  <c r="S297" i="6"/>
  <c r="D297" i="6"/>
  <c r="Z296" i="6"/>
  <c r="Y296" i="6"/>
  <c r="X296" i="6"/>
  <c r="W296" i="6"/>
  <c r="V296" i="6"/>
  <c r="U296" i="6"/>
  <c r="T296" i="6"/>
  <c r="S296" i="6"/>
  <c r="D296" i="6"/>
  <c r="Z295" i="6"/>
  <c r="Y295" i="6"/>
  <c r="X295" i="6"/>
  <c r="W295" i="6"/>
  <c r="V295" i="6"/>
  <c r="U295" i="6"/>
  <c r="T295" i="6"/>
  <c r="S295" i="6"/>
  <c r="D295" i="6"/>
  <c r="Z294" i="6"/>
  <c r="Y294" i="6"/>
  <c r="X294" i="6"/>
  <c r="W294" i="6"/>
  <c r="V294" i="6"/>
  <c r="U294" i="6"/>
  <c r="T294" i="6"/>
  <c r="S294" i="6"/>
  <c r="D294" i="6"/>
  <c r="Z293" i="6"/>
  <c r="Y293" i="6"/>
  <c r="X293" i="6"/>
  <c r="W293" i="6"/>
  <c r="V293" i="6"/>
  <c r="U293" i="6"/>
  <c r="T293" i="6"/>
  <c r="S293" i="6"/>
  <c r="D293" i="6"/>
  <c r="Z292" i="6"/>
  <c r="Y292" i="6"/>
  <c r="X292" i="6"/>
  <c r="W292" i="6"/>
  <c r="V292" i="6"/>
  <c r="U292" i="6"/>
  <c r="T292" i="6"/>
  <c r="S292" i="6"/>
  <c r="D292" i="6"/>
  <c r="Z291" i="6"/>
  <c r="Y291" i="6"/>
  <c r="X291" i="6"/>
  <c r="W291" i="6"/>
  <c r="V291" i="6"/>
  <c r="U291" i="6"/>
  <c r="T291" i="6"/>
  <c r="S291" i="6"/>
  <c r="D291" i="6"/>
  <c r="Z290" i="6"/>
  <c r="Y290" i="6"/>
  <c r="X290" i="6"/>
  <c r="W290" i="6"/>
  <c r="V290" i="6"/>
  <c r="U290" i="6"/>
  <c r="T290" i="6"/>
  <c r="S290" i="6"/>
  <c r="D290" i="6"/>
  <c r="Z289" i="6"/>
  <c r="Y289" i="6"/>
  <c r="X289" i="6"/>
  <c r="W289" i="6"/>
  <c r="V289" i="6"/>
  <c r="U289" i="6"/>
  <c r="T289" i="6"/>
  <c r="S289" i="6"/>
  <c r="D289" i="6"/>
  <c r="Z288" i="6"/>
  <c r="Y288" i="6"/>
  <c r="X288" i="6"/>
  <c r="W288" i="6"/>
  <c r="V288" i="6"/>
  <c r="U288" i="6"/>
  <c r="T288" i="6"/>
  <c r="S288" i="6"/>
  <c r="D288" i="6"/>
  <c r="Z287" i="6"/>
  <c r="Y287" i="6"/>
  <c r="X287" i="6"/>
  <c r="W287" i="6"/>
  <c r="V287" i="6"/>
  <c r="U287" i="6"/>
  <c r="T287" i="6"/>
  <c r="S287" i="6"/>
  <c r="D287" i="6"/>
  <c r="Z286" i="6"/>
  <c r="Y286" i="6"/>
  <c r="X286" i="6"/>
  <c r="W286" i="6"/>
  <c r="V286" i="6"/>
  <c r="U286" i="6"/>
  <c r="T286" i="6"/>
  <c r="S286" i="6"/>
  <c r="D286" i="6"/>
  <c r="Z285" i="6"/>
  <c r="Y285" i="6"/>
  <c r="X285" i="6"/>
  <c r="W285" i="6"/>
  <c r="V285" i="6"/>
  <c r="U285" i="6"/>
  <c r="T285" i="6"/>
  <c r="S285" i="6"/>
  <c r="D285" i="6"/>
  <c r="Z284" i="6"/>
  <c r="Y284" i="6"/>
  <c r="X284" i="6"/>
  <c r="W284" i="6"/>
  <c r="V284" i="6"/>
  <c r="U284" i="6"/>
  <c r="T284" i="6"/>
  <c r="S284" i="6"/>
  <c r="D284" i="6"/>
  <c r="Z283" i="6"/>
  <c r="Y283" i="6"/>
  <c r="X283" i="6"/>
  <c r="W283" i="6"/>
  <c r="V283" i="6"/>
  <c r="U283" i="6"/>
  <c r="T283" i="6"/>
  <c r="S283" i="6"/>
  <c r="D283" i="6"/>
  <c r="Z282" i="6"/>
  <c r="Y282" i="6"/>
  <c r="X282" i="6"/>
  <c r="W282" i="6"/>
  <c r="V282" i="6"/>
  <c r="U282" i="6"/>
  <c r="T282" i="6"/>
  <c r="S282" i="6"/>
  <c r="D282" i="6"/>
  <c r="Z281" i="6"/>
  <c r="Y281" i="6"/>
  <c r="X281" i="6"/>
  <c r="W281" i="6"/>
  <c r="V281" i="6"/>
  <c r="U281" i="6"/>
  <c r="T281" i="6"/>
  <c r="S281" i="6"/>
  <c r="D281" i="6"/>
  <c r="Z280" i="6"/>
  <c r="Y280" i="6"/>
  <c r="X280" i="6"/>
  <c r="W280" i="6"/>
  <c r="V280" i="6"/>
  <c r="U280" i="6"/>
  <c r="T280" i="6"/>
  <c r="S280" i="6"/>
  <c r="D280" i="6"/>
  <c r="Z279" i="6"/>
  <c r="Y279" i="6"/>
  <c r="X279" i="6"/>
  <c r="W279" i="6"/>
  <c r="V279" i="6"/>
  <c r="U279" i="6"/>
  <c r="T279" i="6"/>
  <c r="S279" i="6"/>
  <c r="D279" i="6"/>
  <c r="Z278" i="6"/>
  <c r="Y278" i="6"/>
  <c r="X278" i="6"/>
  <c r="W278" i="6"/>
  <c r="V278" i="6"/>
  <c r="U278" i="6"/>
  <c r="T278" i="6"/>
  <c r="S278" i="6"/>
  <c r="D278" i="6"/>
  <c r="Z277" i="6"/>
  <c r="Y277" i="6"/>
  <c r="X277" i="6"/>
  <c r="W277" i="6"/>
  <c r="V277" i="6"/>
  <c r="U277" i="6"/>
  <c r="T277" i="6"/>
  <c r="S277" i="6"/>
  <c r="D277" i="6"/>
  <c r="A277" i="6"/>
  <c r="B277" i="6" s="1"/>
  <c r="F276" i="6"/>
  <c r="I274" i="6"/>
  <c r="Z268" i="6"/>
  <c r="Y268" i="6"/>
  <c r="X268" i="6"/>
  <c r="W268" i="6"/>
  <c r="V268" i="6"/>
  <c r="U268" i="6"/>
  <c r="T268" i="6"/>
  <c r="S268" i="6"/>
  <c r="D268" i="6"/>
  <c r="Z267" i="6"/>
  <c r="Y267" i="6"/>
  <c r="X267" i="6"/>
  <c r="W267" i="6"/>
  <c r="V267" i="6"/>
  <c r="U267" i="6"/>
  <c r="T267" i="6"/>
  <c r="S267" i="6"/>
  <c r="D267" i="6"/>
  <c r="Z266" i="6"/>
  <c r="Y266" i="6"/>
  <c r="X266" i="6"/>
  <c r="W266" i="6"/>
  <c r="V266" i="6"/>
  <c r="U266" i="6"/>
  <c r="T266" i="6"/>
  <c r="S266" i="6"/>
  <c r="D266" i="6"/>
  <c r="Z265" i="6"/>
  <c r="Y265" i="6"/>
  <c r="X265" i="6"/>
  <c r="W265" i="6"/>
  <c r="V265" i="6"/>
  <c r="U265" i="6"/>
  <c r="T265" i="6"/>
  <c r="S265" i="6"/>
  <c r="D265" i="6"/>
  <c r="Z264" i="6"/>
  <c r="Y264" i="6"/>
  <c r="X264" i="6"/>
  <c r="W264" i="6"/>
  <c r="V264" i="6"/>
  <c r="U264" i="6"/>
  <c r="T264" i="6"/>
  <c r="S264" i="6"/>
  <c r="D264" i="6"/>
  <c r="Z263" i="6"/>
  <c r="Y263" i="6"/>
  <c r="X263" i="6"/>
  <c r="W263" i="6"/>
  <c r="V263" i="6"/>
  <c r="U263" i="6"/>
  <c r="T263" i="6"/>
  <c r="S263" i="6"/>
  <c r="D263" i="6"/>
  <c r="Z262" i="6"/>
  <c r="Y262" i="6"/>
  <c r="X262" i="6"/>
  <c r="W262" i="6"/>
  <c r="V262" i="6"/>
  <c r="U262" i="6"/>
  <c r="T262" i="6"/>
  <c r="S262" i="6"/>
  <c r="D262" i="6"/>
  <c r="Z261" i="6"/>
  <c r="Y261" i="6"/>
  <c r="X261" i="6"/>
  <c r="W261" i="6"/>
  <c r="V261" i="6"/>
  <c r="U261" i="6"/>
  <c r="T261" i="6"/>
  <c r="S261" i="6"/>
  <c r="D261" i="6"/>
  <c r="Z260" i="6"/>
  <c r="Y260" i="6"/>
  <c r="X260" i="6"/>
  <c r="W260" i="6"/>
  <c r="V260" i="6"/>
  <c r="U260" i="6"/>
  <c r="T260" i="6"/>
  <c r="S260" i="6"/>
  <c r="D260" i="6"/>
  <c r="Z259" i="6"/>
  <c r="Y259" i="6"/>
  <c r="X259" i="6"/>
  <c r="W259" i="6"/>
  <c r="V259" i="6"/>
  <c r="U259" i="6"/>
  <c r="T259" i="6"/>
  <c r="S259" i="6"/>
  <c r="D259" i="6"/>
  <c r="Z258" i="6"/>
  <c r="Y258" i="6"/>
  <c r="X258" i="6"/>
  <c r="W258" i="6"/>
  <c r="V258" i="6"/>
  <c r="U258" i="6"/>
  <c r="T258" i="6"/>
  <c r="S258" i="6"/>
  <c r="D258" i="6"/>
  <c r="Z257" i="6"/>
  <c r="Y257" i="6"/>
  <c r="X257" i="6"/>
  <c r="W257" i="6"/>
  <c r="V257" i="6"/>
  <c r="U257" i="6"/>
  <c r="T257" i="6"/>
  <c r="S257" i="6"/>
  <c r="D257" i="6"/>
  <c r="Z256" i="6"/>
  <c r="Y256" i="6"/>
  <c r="X256" i="6"/>
  <c r="W256" i="6"/>
  <c r="V256" i="6"/>
  <c r="U256" i="6"/>
  <c r="T256" i="6"/>
  <c r="S256" i="6"/>
  <c r="D256" i="6"/>
  <c r="Z255" i="6"/>
  <c r="Y255" i="6"/>
  <c r="X255" i="6"/>
  <c r="W255" i="6"/>
  <c r="V255" i="6"/>
  <c r="U255" i="6"/>
  <c r="T255" i="6"/>
  <c r="S255" i="6"/>
  <c r="D255" i="6"/>
  <c r="Z254" i="6"/>
  <c r="Y254" i="6"/>
  <c r="X254" i="6"/>
  <c r="W254" i="6"/>
  <c r="V254" i="6"/>
  <c r="U254" i="6"/>
  <c r="T254" i="6"/>
  <c r="S254" i="6"/>
  <c r="D254" i="6"/>
  <c r="Z253" i="6"/>
  <c r="Y253" i="6"/>
  <c r="X253" i="6"/>
  <c r="W253" i="6"/>
  <c r="V253" i="6"/>
  <c r="U253" i="6"/>
  <c r="T253" i="6"/>
  <c r="S253" i="6"/>
  <c r="D253" i="6"/>
  <c r="Z252" i="6"/>
  <c r="Y252" i="6"/>
  <c r="X252" i="6"/>
  <c r="W252" i="6"/>
  <c r="V252" i="6"/>
  <c r="U252" i="6"/>
  <c r="T252" i="6"/>
  <c r="S252" i="6"/>
  <c r="D252" i="6"/>
  <c r="Z251" i="6"/>
  <c r="Y251" i="6"/>
  <c r="X251" i="6"/>
  <c r="W251" i="6"/>
  <c r="V251" i="6"/>
  <c r="U251" i="6"/>
  <c r="T251" i="6"/>
  <c r="S251" i="6"/>
  <c r="D251" i="6"/>
  <c r="Z250" i="6"/>
  <c r="Y250" i="6"/>
  <c r="X250" i="6"/>
  <c r="W250" i="6"/>
  <c r="V250" i="6"/>
  <c r="U250" i="6"/>
  <c r="T250" i="6"/>
  <c r="S250" i="6"/>
  <c r="D250" i="6"/>
  <c r="Z249" i="6"/>
  <c r="Y249" i="6"/>
  <c r="X249" i="6"/>
  <c r="W249" i="6"/>
  <c r="V249" i="6"/>
  <c r="U249" i="6"/>
  <c r="T249" i="6"/>
  <c r="S249" i="6"/>
  <c r="D249" i="6"/>
  <c r="Z248" i="6"/>
  <c r="Y248" i="6"/>
  <c r="X248" i="6"/>
  <c r="W248" i="6"/>
  <c r="V248" i="6"/>
  <c r="U248" i="6"/>
  <c r="T248" i="6"/>
  <c r="S248" i="6"/>
  <c r="D248" i="6"/>
  <c r="Z247" i="6"/>
  <c r="Y247" i="6"/>
  <c r="X247" i="6"/>
  <c r="W247" i="6"/>
  <c r="V247" i="6"/>
  <c r="U247" i="6"/>
  <c r="T247" i="6"/>
  <c r="S247" i="6"/>
  <c r="D247" i="6"/>
  <c r="Z246" i="6"/>
  <c r="Y246" i="6"/>
  <c r="X246" i="6"/>
  <c r="W246" i="6"/>
  <c r="V246" i="6"/>
  <c r="U246" i="6"/>
  <c r="T246" i="6"/>
  <c r="S246" i="6"/>
  <c r="D246" i="6"/>
  <c r="Z245" i="6"/>
  <c r="Y245" i="6"/>
  <c r="X245" i="6"/>
  <c r="W245" i="6"/>
  <c r="V245" i="6"/>
  <c r="U245" i="6"/>
  <c r="T245" i="6"/>
  <c r="S245" i="6"/>
  <c r="D245" i="6"/>
  <c r="Z244" i="6"/>
  <c r="Y244" i="6"/>
  <c r="X244" i="6"/>
  <c r="W244" i="6"/>
  <c r="V244" i="6"/>
  <c r="U244" i="6"/>
  <c r="T244" i="6"/>
  <c r="S244" i="6"/>
  <c r="D244" i="6"/>
  <c r="Z243" i="6"/>
  <c r="Y243" i="6"/>
  <c r="X243" i="6"/>
  <c r="W243" i="6"/>
  <c r="V243" i="6"/>
  <c r="U243" i="6"/>
  <c r="T243" i="6"/>
  <c r="S243" i="6"/>
  <c r="D243" i="6"/>
  <c r="Z242" i="6"/>
  <c r="Y242" i="6"/>
  <c r="X242" i="6"/>
  <c r="W242" i="6"/>
  <c r="V242" i="6"/>
  <c r="U242" i="6"/>
  <c r="T242" i="6"/>
  <c r="S242" i="6"/>
  <c r="D242" i="6"/>
  <c r="Z241" i="6"/>
  <c r="Y241" i="6"/>
  <c r="X241" i="6"/>
  <c r="W241" i="6"/>
  <c r="V241" i="6"/>
  <c r="U241" i="6"/>
  <c r="T241" i="6"/>
  <c r="S241" i="6"/>
  <c r="D241" i="6"/>
  <c r="Z240" i="6"/>
  <c r="Y240" i="6"/>
  <c r="X240" i="6"/>
  <c r="W240" i="6"/>
  <c r="V240" i="6"/>
  <c r="U240" i="6"/>
  <c r="T240" i="6"/>
  <c r="S240" i="6"/>
  <c r="D240" i="6"/>
  <c r="Z239" i="6"/>
  <c r="Y239" i="6"/>
  <c r="X239" i="6"/>
  <c r="W239" i="6"/>
  <c r="V239" i="6"/>
  <c r="U239" i="6"/>
  <c r="T239" i="6"/>
  <c r="S239" i="6"/>
  <c r="D239" i="6"/>
  <c r="Z238" i="6"/>
  <c r="Y238" i="6"/>
  <c r="X238" i="6"/>
  <c r="W238" i="6"/>
  <c r="V238" i="6"/>
  <c r="U238" i="6"/>
  <c r="T238" i="6"/>
  <c r="S238" i="6"/>
  <c r="D238" i="6"/>
  <c r="A238" i="6"/>
  <c r="B238" i="6" s="1"/>
  <c r="F237" i="6"/>
  <c r="I235" i="6"/>
  <c r="Z229" i="6"/>
  <c r="Y229" i="6"/>
  <c r="X229" i="6"/>
  <c r="W229" i="6"/>
  <c r="V229" i="6"/>
  <c r="U229" i="6"/>
  <c r="T229" i="6"/>
  <c r="S229" i="6"/>
  <c r="D229" i="6"/>
  <c r="Z228" i="6"/>
  <c r="Y228" i="6"/>
  <c r="X228" i="6"/>
  <c r="W228" i="6"/>
  <c r="V228" i="6"/>
  <c r="U228" i="6"/>
  <c r="T228" i="6"/>
  <c r="S228" i="6"/>
  <c r="D228" i="6"/>
  <c r="Z227" i="6"/>
  <c r="Y227" i="6"/>
  <c r="X227" i="6"/>
  <c r="W227" i="6"/>
  <c r="V227" i="6"/>
  <c r="U227" i="6"/>
  <c r="T227" i="6"/>
  <c r="S227" i="6"/>
  <c r="D227" i="6"/>
  <c r="Z226" i="6"/>
  <c r="Y226" i="6"/>
  <c r="X226" i="6"/>
  <c r="W226" i="6"/>
  <c r="V226" i="6"/>
  <c r="U226" i="6"/>
  <c r="T226" i="6"/>
  <c r="S226" i="6"/>
  <c r="D226" i="6"/>
  <c r="Z225" i="6"/>
  <c r="Y225" i="6"/>
  <c r="X225" i="6"/>
  <c r="W225" i="6"/>
  <c r="V225" i="6"/>
  <c r="U225" i="6"/>
  <c r="T225" i="6"/>
  <c r="S225" i="6"/>
  <c r="D225" i="6"/>
  <c r="Z224" i="6"/>
  <c r="Y224" i="6"/>
  <c r="X224" i="6"/>
  <c r="W224" i="6"/>
  <c r="V224" i="6"/>
  <c r="U224" i="6"/>
  <c r="T224" i="6"/>
  <c r="S224" i="6"/>
  <c r="D224" i="6"/>
  <c r="Z223" i="6"/>
  <c r="Y223" i="6"/>
  <c r="X223" i="6"/>
  <c r="W223" i="6"/>
  <c r="V223" i="6"/>
  <c r="U223" i="6"/>
  <c r="T223" i="6"/>
  <c r="S223" i="6"/>
  <c r="D223" i="6"/>
  <c r="Z222" i="6"/>
  <c r="Y222" i="6"/>
  <c r="X222" i="6"/>
  <c r="W222" i="6"/>
  <c r="V222" i="6"/>
  <c r="U222" i="6"/>
  <c r="T222" i="6"/>
  <c r="S222" i="6"/>
  <c r="D222" i="6"/>
  <c r="Z221" i="6"/>
  <c r="Y221" i="6"/>
  <c r="X221" i="6"/>
  <c r="W221" i="6"/>
  <c r="V221" i="6"/>
  <c r="U221" i="6"/>
  <c r="T221" i="6"/>
  <c r="S221" i="6"/>
  <c r="D221" i="6"/>
  <c r="Z220" i="6"/>
  <c r="Y220" i="6"/>
  <c r="X220" i="6"/>
  <c r="W220" i="6"/>
  <c r="V220" i="6"/>
  <c r="U220" i="6"/>
  <c r="T220" i="6"/>
  <c r="S220" i="6"/>
  <c r="D220" i="6"/>
  <c r="Z219" i="6"/>
  <c r="Y219" i="6"/>
  <c r="X219" i="6"/>
  <c r="W219" i="6"/>
  <c r="V219" i="6"/>
  <c r="U219" i="6"/>
  <c r="T219" i="6"/>
  <c r="S219" i="6"/>
  <c r="D219" i="6"/>
  <c r="Z218" i="6"/>
  <c r="Y218" i="6"/>
  <c r="X218" i="6"/>
  <c r="W218" i="6"/>
  <c r="V218" i="6"/>
  <c r="U218" i="6"/>
  <c r="T218" i="6"/>
  <c r="S218" i="6"/>
  <c r="D218" i="6"/>
  <c r="Z217" i="6"/>
  <c r="Y217" i="6"/>
  <c r="X217" i="6"/>
  <c r="W217" i="6"/>
  <c r="V217" i="6"/>
  <c r="U217" i="6"/>
  <c r="T217" i="6"/>
  <c r="S217" i="6"/>
  <c r="D217" i="6"/>
  <c r="Z216" i="6"/>
  <c r="Y216" i="6"/>
  <c r="X216" i="6"/>
  <c r="W216" i="6"/>
  <c r="V216" i="6"/>
  <c r="U216" i="6"/>
  <c r="T216" i="6"/>
  <c r="S216" i="6"/>
  <c r="D216" i="6"/>
  <c r="Z215" i="6"/>
  <c r="Y215" i="6"/>
  <c r="X215" i="6"/>
  <c r="W215" i="6"/>
  <c r="V215" i="6"/>
  <c r="U215" i="6"/>
  <c r="T215" i="6"/>
  <c r="S215" i="6"/>
  <c r="D215" i="6"/>
  <c r="Z214" i="6"/>
  <c r="Y214" i="6"/>
  <c r="X214" i="6"/>
  <c r="W214" i="6"/>
  <c r="V214" i="6"/>
  <c r="U214" i="6"/>
  <c r="T214" i="6"/>
  <c r="S214" i="6"/>
  <c r="D214" i="6"/>
  <c r="Z213" i="6"/>
  <c r="Y213" i="6"/>
  <c r="X213" i="6"/>
  <c r="W213" i="6"/>
  <c r="V213" i="6"/>
  <c r="U213" i="6"/>
  <c r="T213" i="6"/>
  <c r="S213" i="6"/>
  <c r="D213" i="6"/>
  <c r="Z212" i="6"/>
  <c r="Y212" i="6"/>
  <c r="X212" i="6"/>
  <c r="W212" i="6"/>
  <c r="V212" i="6"/>
  <c r="U212" i="6"/>
  <c r="T212" i="6"/>
  <c r="S212" i="6"/>
  <c r="D212" i="6"/>
  <c r="Z211" i="6"/>
  <c r="Y211" i="6"/>
  <c r="X211" i="6"/>
  <c r="W211" i="6"/>
  <c r="V211" i="6"/>
  <c r="U211" i="6"/>
  <c r="T211" i="6"/>
  <c r="S211" i="6"/>
  <c r="D211" i="6"/>
  <c r="Z210" i="6"/>
  <c r="Y210" i="6"/>
  <c r="X210" i="6"/>
  <c r="W210" i="6"/>
  <c r="V210" i="6"/>
  <c r="U210" i="6"/>
  <c r="T210" i="6"/>
  <c r="S210" i="6"/>
  <c r="D210" i="6"/>
  <c r="Z209" i="6"/>
  <c r="Y209" i="6"/>
  <c r="X209" i="6"/>
  <c r="W209" i="6"/>
  <c r="V209" i="6"/>
  <c r="U209" i="6"/>
  <c r="T209" i="6"/>
  <c r="S209" i="6"/>
  <c r="D209" i="6"/>
  <c r="Z208" i="6"/>
  <c r="Y208" i="6"/>
  <c r="X208" i="6"/>
  <c r="W208" i="6"/>
  <c r="V208" i="6"/>
  <c r="U208" i="6"/>
  <c r="T208" i="6"/>
  <c r="S208" i="6"/>
  <c r="D208" i="6"/>
  <c r="Z207" i="6"/>
  <c r="Y207" i="6"/>
  <c r="X207" i="6"/>
  <c r="W207" i="6"/>
  <c r="V207" i="6"/>
  <c r="U207" i="6"/>
  <c r="T207" i="6"/>
  <c r="S207" i="6"/>
  <c r="D207" i="6"/>
  <c r="Z206" i="6"/>
  <c r="Y206" i="6"/>
  <c r="X206" i="6"/>
  <c r="W206" i="6"/>
  <c r="V206" i="6"/>
  <c r="U206" i="6"/>
  <c r="T206" i="6"/>
  <c r="S206" i="6"/>
  <c r="D206" i="6"/>
  <c r="Z205" i="6"/>
  <c r="Y205" i="6"/>
  <c r="X205" i="6"/>
  <c r="W205" i="6"/>
  <c r="V205" i="6"/>
  <c r="U205" i="6"/>
  <c r="T205" i="6"/>
  <c r="S205" i="6"/>
  <c r="D205" i="6"/>
  <c r="Z204" i="6"/>
  <c r="Y204" i="6"/>
  <c r="X204" i="6"/>
  <c r="W204" i="6"/>
  <c r="V204" i="6"/>
  <c r="U204" i="6"/>
  <c r="T204" i="6"/>
  <c r="S204" i="6"/>
  <c r="D204" i="6"/>
  <c r="Z203" i="6"/>
  <c r="Y203" i="6"/>
  <c r="X203" i="6"/>
  <c r="W203" i="6"/>
  <c r="V203" i="6"/>
  <c r="U203" i="6"/>
  <c r="T203" i="6"/>
  <c r="S203" i="6"/>
  <c r="D203" i="6"/>
  <c r="Z202" i="6"/>
  <c r="Y202" i="6"/>
  <c r="X202" i="6"/>
  <c r="W202" i="6"/>
  <c r="V202" i="6"/>
  <c r="U202" i="6"/>
  <c r="T202" i="6"/>
  <c r="S202" i="6"/>
  <c r="D202" i="6"/>
  <c r="Z201" i="6"/>
  <c r="Y201" i="6"/>
  <c r="X201" i="6"/>
  <c r="W201" i="6"/>
  <c r="V201" i="6"/>
  <c r="U201" i="6"/>
  <c r="T201" i="6"/>
  <c r="S201" i="6"/>
  <c r="D201" i="6"/>
  <c r="Z200" i="6"/>
  <c r="Y200" i="6"/>
  <c r="X200" i="6"/>
  <c r="W200" i="6"/>
  <c r="V200" i="6"/>
  <c r="U200" i="6"/>
  <c r="T200" i="6"/>
  <c r="S200" i="6"/>
  <c r="D200" i="6"/>
  <c r="Z199" i="6"/>
  <c r="Y199" i="6"/>
  <c r="X199" i="6"/>
  <c r="W199" i="6"/>
  <c r="V199" i="6"/>
  <c r="U199" i="6"/>
  <c r="T199" i="6"/>
  <c r="S199" i="6"/>
  <c r="D199" i="6"/>
  <c r="A199" i="6"/>
  <c r="B199" i="6" s="1"/>
  <c r="F198" i="6"/>
  <c r="I196" i="6"/>
  <c r="Z190" i="6"/>
  <c r="Y190" i="6"/>
  <c r="X190" i="6"/>
  <c r="W190" i="6"/>
  <c r="V190" i="6"/>
  <c r="U190" i="6"/>
  <c r="T190" i="6"/>
  <c r="S190" i="6"/>
  <c r="D190" i="6"/>
  <c r="Z189" i="6"/>
  <c r="Y189" i="6"/>
  <c r="X189" i="6"/>
  <c r="W189" i="6"/>
  <c r="V189" i="6"/>
  <c r="U189" i="6"/>
  <c r="T189" i="6"/>
  <c r="S189" i="6"/>
  <c r="D189" i="6"/>
  <c r="Z188" i="6"/>
  <c r="Y188" i="6"/>
  <c r="X188" i="6"/>
  <c r="W188" i="6"/>
  <c r="V188" i="6"/>
  <c r="U188" i="6"/>
  <c r="T188" i="6"/>
  <c r="S188" i="6"/>
  <c r="D188" i="6"/>
  <c r="Z187" i="6"/>
  <c r="Y187" i="6"/>
  <c r="X187" i="6"/>
  <c r="W187" i="6"/>
  <c r="V187" i="6"/>
  <c r="U187" i="6"/>
  <c r="T187" i="6"/>
  <c r="S187" i="6"/>
  <c r="D187" i="6"/>
  <c r="Z186" i="6"/>
  <c r="Y186" i="6"/>
  <c r="X186" i="6"/>
  <c r="W186" i="6"/>
  <c r="V186" i="6"/>
  <c r="U186" i="6"/>
  <c r="T186" i="6"/>
  <c r="S186" i="6"/>
  <c r="D186" i="6"/>
  <c r="Z185" i="6"/>
  <c r="Y185" i="6"/>
  <c r="X185" i="6"/>
  <c r="W185" i="6"/>
  <c r="V185" i="6"/>
  <c r="U185" i="6"/>
  <c r="T185" i="6"/>
  <c r="S185" i="6"/>
  <c r="D185" i="6"/>
  <c r="Z184" i="6"/>
  <c r="Y184" i="6"/>
  <c r="X184" i="6"/>
  <c r="W184" i="6"/>
  <c r="V184" i="6"/>
  <c r="U184" i="6"/>
  <c r="T184" i="6"/>
  <c r="S184" i="6"/>
  <c r="D184" i="6"/>
  <c r="Z183" i="6"/>
  <c r="Y183" i="6"/>
  <c r="X183" i="6"/>
  <c r="W183" i="6"/>
  <c r="V183" i="6"/>
  <c r="U183" i="6"/>
  <c r="T183" i="6"/>
  <c r="S183" i="6"/>
  <c r="D183" i="6"/>
  <c r="Z182" i="6"/>
  <c r="Y182" i="6"/>
  <c r="X182" i="6"/>
  <c r="W182" i="6"/>
  <c r="V182" i="6"/>
  <c r="U182" i="6"/>
  <c r="T182" i="6"/>
  <c r="S182" i="6"/>
  <c r="D182" i="6"/>
  <c r="Z181" i="6"/>
  <c r="Y181" i="6"/>
  <c r="X181" i="6"/>
  <c r="W181" i="6"/>
  <c r="V181" i="6"/>
  <c r="U181" i="6"/>
  <c r="T181" i="6"/>
  <c r="S181" i="6"/>
  <c r="D181" i="6"/>
  <c r="Z180" i="6"/>
  <c r="Y180" i="6"/>
  <c r="X180" i="6"/>
  <c r="W180" i="6"/>
  <c r="V180" i="6"/>
  <c r="U180" i="6"/>
  <c r="T180" i="6"/>
  <c r="S180" i="6"/>
  <c r="D180" i="6"/>
  <c r="Z179" i="6"/>
  <c r="Y179" i="6"/>
  <c r="X179" i="6"/>
  <c r="W179" i="6"/>
  <c r="V179" i="6"/>
  <c r="U179" i="6"/>
  <c r="T179" i="6"/>
  <c r="S179" i="6"/>
  <c r="D179" i="6"/>
  <c r="Z178" i="6"/>
  <c r="Y178" i="6"/>
  <c r="X178" i="6"/>
  <c r="W178" i="6"/>
  <c r="V178" i="6"/>
  <c r="U178" i="6"/>
  <c r="T178" i="6"/>
  <c r="S178" i="6"/>
  <c r="D178" i="6"/>
  <c r="Z177" i="6"/>
  <c r="Y177" i="6"/>
  <c r="X177" i="6"/>
  <c r="W177" i="6"/>
  <c r="V177" i="6"/>
  <c r="U177" i="6"/>
  <c r="T177" i="6"/>
  <c r="S177" i="6"/>
  <c r="D177" i="6"/>
  <c r="Z176" i="6"/>
  <c r="Y176" i="6"/>
  <c r="X176" i="6"/>
  <c r="W176" i="6"/>
  <c r="V176" i="6"/>
  <c r="U176" i="6"/>
  <c r="T176" i="6"/>
  <c r="S176" i="6"/>
  <c r="D176" i="6"/>
  <c r="Z175" i="6"/>
  <c r="Y175" i="6"/>
  <c r="X175" i="6"/>
  <c r="W175" i="6"/>
  <c r="V175" i="6"/>
  <c r="U175" i="6"/>
  <c r="T175" i="6"/>
  <c r="S175" i="6"/>
  <c r="D175" i="6"/>
  <c r="Z174" i="6"/>
  <c r="Y174" i="6"/>
  <c r="X174" i="6"/>
  <c r="W174" i="6"/>
  <c r="V174" i="6"/>
  <c r="U174" i="6"/>
  <c r="T174" i="6"/>
  <c r="S174" i="6"/>
  <c r="D174" i="6"/>
  <c r="Z173" i="6"/>
  <c r="Y173" i="6"/>
  <c r="X173" i="6"/>
  <c r="W173" i="6"/>
  <c r="V173" i="6"/>
  <c r="U173" i="6"/>
  <c r="T173" i="6"/>
  <c r="S173" i="6"/>
  <c r="D173" i="6"/>
  <c r="Z172" i="6"/>
  <c r="Y172" i="6"/>
  <c r="X172" i="6"/>
  <c r="W172" i="6"/>
  <c r="V172" i="6"/>
  <c r="U172" i="6"/>
  <c r="T172" i="6"/>
  <c r="S172" i="6"/>
  <c r="D172" i="6"/>
  <c r="Z171" i="6"/>
  <c r="Y171" i="6"/>
  <c r="X171" i="6"/>
  <c r="W171" i="6"/>
  <c r="V171" i="6"/>
  <c r="U171" i="6"/>
  <c r="T171" i="6"/>
  <c r="S171" i="6"/>
  <c r="D171" i="6"/>
  <c r="Z170" i="6"/>
  <c r="Y170" i="6"/>
  <c r="X170" i="6"/>
  <c r="W170" i="6"/>
  <c r="V170" i="6"/>
  <c r="U170" i="6"/>
  <c r="T170" i="6"/>
  <c r="S170" i="6"/>
  <c r="D170" i="6"/>
  <c r="Z169" i="6"/>
  <c r="Y169" i="6"/>
  <c r="X169" i="6"/>
  <c r="W169" i="6"/>
  <c r="V169" i="6"/>
  <c r="U169" i="6"/>
  <c r="T169" i="6"/>
  <c r="S169" i="6"/>
  <c r="D169" i="6"/>
  <c r="Z168" i="6"/>
  <c r="Y168" i="6"/>
  <c r="X168" i="6"/>
  <c r="W168" i="6"/>
  <c r="V168" i="6"/>
  <c r="U168" i="6"/>
  <c r="T168" i="6"/>
  <c r="S168" i="6"/>
  <c r="D168" i="6"/>
  <c r="Z167" i="6"/>
  <c r="Y167" i="6"/>
  <c r="X167" i="6"/>
  <c r="W167" i="6"/>
  <c r="V167" i="6"/>
  <c r="U167" i="6"/>
  <c r="T167" i="6"/>
  <c r="S167" i="6"/>
  <c r="D167" i="6"/>
  <c r="Z166" i="6"/>
  <c r="Y166" i="6"/>
  <c r="X166" i="6"/>
  <c r="W166" i="6"/>
  <c r="V166" i="6"/>
  <c r="U166" i="6"/>
  <c r="T166" i="6"/>
  <c r="S166" i="6"/>
  <c r="D166" i="6"/>
  <c r="Z165" i="6"/>
  <c r="Y165" i="6"/>
  <c r="X165" i="6"/>
  <c r="W165" i="6"/>
  <c r="V165" i="6"/>
  <c r="U165" i="6"/>
  <c r="T165" i="6"/>
  <c r="S165" i="6"/>
  <c r="D165" i="6"/>
  <c r="Z164" i="6"/>
  <c r="Y164" i="6"/>
  <c r="X164" i="6"/>
  <c r="W164" i="6"/>
  <c r="V164" i="6"/>
  <c r="U164" i="6"/>
  <c r="T164" i="6"/>
  <c r="S164" i="6"/>
  <c r="D164" i="6"/>
  <c r="Z163" i="6"/>
  <c r="Y163" i="6"/>
  <c r="X163" i="6"/>
  <c r="W163" i="6"/>
  <c r="V163" i="6"/>
  <c r="U163" i="6"/>
  <c r="T163" i="6"/>
  <c r="S163" i="6"/>
  <c r="D163" i="6"/>
  <c r="Z162" i="6"/>
  <c r="Y162" i="6"/>
  <c r="X162" i="6"/>
  <c r="W162" i="6"/>
  <c r="V162" i="6"/>
  <c r="U162" i="6"/>
  <c r="T162" i="6"/>
  <c r="S162" i="6"/>
  <c r="D162" i="6"/>
  <c r="Z161" i="6"/>
  <c r="Y161" i="6"/>
  <c r="X161" i="6"/>
  <c r="W161" i="6"/>
  <c r="V161" i="6"/>
  <c r="U161" i="6"/>
  <c r="T161" i="6"/>
  <c r="S161" i="6"/>
  <c r="D161" i="6"/>
  <c r="Z160" i="6"/>
  <c r="Y160" i="6"/>
  <c r="X160" i="6"/>
  <c r="W160" i="6"/>
  <c r="V160" i="6"/>
  <c r="U160" i="6"/>
  <c r="T160" i="6"/>
  <c r="S160" i="6"/>
  <c r="D160" i="6"/>
  <c r="A160" i="6"/>
  <c r="B160" i="6" s="1"/>
  <c r="F159" i="6"/>
  <c r="I157" i="6"/>
  <c r="Z151" i="6"/>
  <c r="Y151" i="6"/>
  <c r="X151" i="6"/>
  <c r="W151" i="6"/>
  <c r="V151" i="6"/>
  <c r="U151" i="6"/>
  <c r="T151" i="6"/>
  <c r="S151" i="6"/>
  <c r="D151" i="6"/>
  <c r="Z150" i="6"/>
  <c r="Y150" i="6"/>
  <c r="X150" i="6"/>
  <c r="W150" i="6"/>
  <c r="V150" i="6"/>
  <c r="U150" i="6"/>
  <c r="T150" i="6"/>
  <c r="S150" i="6"/>
  <c r="D150" i="6"/>
  <c r="Z149" i="6"/>
  <c r="Y149" i="6"/>
  <c r="X149" i="6"/>
  <c r="W149" i="6"/>
  <c r="V149" i="6"/>
  <c r="U149" i="6"/>
  <c r="T149" i="6"/>
  <c r="S149" i="6"/>
  <c r="D149" i="6"/>
  <c r="Z148" i="6"/>
  <c r="Y148" i="6"/>
  <c r="X148" i="6"/>
  <c r="W148" i="6"/>
  <c r="V148" i="6"/>
  <c r="U148" i="6"/>
  <c r="T148" i="6"/>
  <c r="S148" i="6"/>
  <c r="D148" i="6"/>
  <c r="Z147" i="6"/>
  <c r="Y147" i="6"/>
  <c r="X147" i="6"/>
  <c r="W147" i="6"/>
  <c r="V147" i="6"/>
  <c r="U147" i="6"/>
  <c r="T147" i="6"/>
  <c r="S147" i="6"/>
  <c r="D147" i="6"/>
  <c r="Z146" i="6"/>
  <c r="Y146" i="6"/>
  <c r="X146" i="6"/>
  <c r="W146" i="6"/>
  <c r="V146" i="6"/>
  <c r="U146" i="6"/>
  <c r="T146" i="6"/>
  <c r="S146" i="6"/>
  <c r="D146" i="6"/>
  <c r="Z145" i="6"/>
  <c r="Y145" i="6"/>
  <c r="X145" i="6"/>
  <c r="W145" i="6"/>
  <c r="V145" i="6"/>
  <c r="U145" i="6"/>
  <c r="T145" i="6"/>
  <c r="S145" i="6"/>
  <c r="D145" i="6"/>
  <c r="Z144" i="6"/>
  <c r="Y144" i="6"/>
  <c r="X144" i="6"/>
  <c r="W144" i="6"/>
  <c r="V144" i="6"/>
  <c r="U144" i="6"/>
  <c r="T144" i="6"/>
  <c r="S144" i="6"/>
  <c r="D144" i="6"/>
  <c r="Z143" i="6"/>
  <c r="Y143" i="6"/>
  <c r="X143" i="6"/>
  <c r="W143" i="6"/>
  <c r="V143" i="6"/>
  <c r="U143" i="6"/>
  <c r="T143" i="6"/>
  <c r="S143" i="6"/>
  <c r="D143" i="6"/>
  <c r="Z142" i="6"/>
  <c r="Y142" i="6"/>
  <c r="X142" i="6"/>
  <c r="W142" i="6"/>
  <c r="V142" i="6"/>
  <c r="U142" i="6"/>
  <c r="T142" i="6"/>
  <c r="S142" i="6"/>
  <c r="D142" i="6"/>
  <c r="Z141" i="6"/>
  <c r="Y141" i="6"/>
  <c r="X141" i="6"/>
  <c r="W141" i="6"/>
  <c r="V141" i="6"/>
  <c r="U141" i="6"/>
  <c r="T141" i="6"/>
  <c r="S141" i="6"/>
  <c r="D141" i="6"/>
  <c r="Z140" i="6"/>
  <c r="Y140" i="6"/>
  <c r="X140" i="6"/>
  <c r="W140" i="6"/>
  <c r="V140" i="6"/>
  <c r="U140" i="6"/>
  <c r="T140" i="6"/>
  <c r="S140" i="6"/>
  <c r="D140" i="6"/>
  <c r="Z139" i="6"/>
  <c r="Y139" i="6"/>
  <c r="X139" i="6"/>
  <c r="W139" i="6"/>
  <c r="V139" i="6"/>
  <c r="U139" i="6"/>
  <c r="T139" i="6"/>
  <c r="S139" i="6"/>
  <c r="D139" i="6"/>
  <c r="Z138" i="6"/>
  <c r="Y138" i="6"/>
  <c r="X138" i="6"/>
  <c r="W138" i="6"/>
  <c r="V138" i="6"/>
  <c r="U138" i="6"/>
  <c r="T138" i="6"/>
  <c r="S138" i="6"/>
  <c r="D138" i="6"/>
  <c r="Z137" i="6"/>
  <c r="Y137" i="6"/>
  <c r="X137" i="6"/>
  <c r="W137" i="6"/>
  <c r="V137" i="6"/>
  <c r="U137" i="6"/>
  <c r="T137" i="6"/>
  <c r="S137" i="6"/>
  <c r="D137" i="6"/>
  <c r="Z136" i="6"/>
  <c r="Y136" i="6"/>
  <c r="X136" i="6"/>
  <c r="W136" i="6"/>
  <c r="V136" i="6"/>
  <c r="U136" i="6"/>
  <c r="T136" i="6"/>
  <c r="S136" i="6"/>
  <c r="D136" i="6"/>
  <c r="Z135" i="6"/>
  <c r="Y135" i="6"/>
  <c r="X135" i="6"/>
  <c r="W135" i="6"/>
  <c r="V135" i="6"/>
  <c r="U135" i="6"/>
  <c r="T135" i="6"/>
  <c r="S135" i="6"/>
  <c r="D135" i="6"/>
  <c r="Z134" i="6"/>
  <c r="Y134" i="6"/>
  <c r="X134" i="6"/>
  <c r="W134" i="6"/>
  <c r="V134" i="6"/>
  <c r="U134" i="6"/>
  <c r="T134" i="6"/>
  <c r="S134" i="6"/>
  <c r="D134" i="6"/>
  <c r="Z133" i="6"/>
  <c r="Y133" i="6"/>
  <c r="X133" i="6"/>
  <c r="W133" i="6"/>
  <c r="V133" i="6"/>
  <c r="U133" i="6"/>
  <c r="T133" i="6"/>
  <c r="S133" i="6"/>
  <c r="D133" i="6"/>
  <c r="Z132" i="6"/>
  <c r="Y132" i="6"/>
  <c r="X132" i="6"/>
  <c r="W132" i="6"/>
  <c r="V132" i="6"/>
  <c r="U132" i="6"/>
  <c r="T132" i="6"/>
  <c r="S132" i="6"/>
  <c r="D132" i="6"/>
  <c r="Z131" i="6"/>
  <c r="Y131" i="6"/>
  <c r="X131" i="6"/>
  <c r="W131" i="6"/>
  <c r="V131" i="6"/>
  <c r="U131" i="6"/>
  <c r="T131" i="6"/>
  <c r="S131" i="6"/>
  <c r="D131" i="6"/>
  <c r="Z130" i="6"/>
  <c r="Y130" i="6"/>
  <c r="X130" i="6"/>
  <c r="W130" i="6"/>
  <c r="V130" i="6"/>
  <c r="U130" i="6"/>
  <c r="T130" i="6"/>
  <c r="S130" i="6"/>
  <c r="D130" i="6"/>
  <c r="Z129" i="6"/>
  <c r="Y129" i="6"/>
  <c r="X129" i="6"/>
  <c r="W129" i="6"/>
  <c r="V129" i="6"/>
  <c r="U129" i="6"/>
  <c r="T129" i="6"/>
  <c r="S129" i="6"/>
  <c r="D129" i="6"/>
  <c r="Z128" i="6"/>
  <c r="Y128" i="6"/>
  <c r="X128" i="6"/>
  <c r="W128" i="6"/>
  <c r="V128" i="6"/>
  <c r="U128" i="6"/>
  <c r="T128" i="6"/>
  <c r="S128" i="6"/>
  <c r="D128" i="6"/>
  <c r="Z127" i="6"/>
  <c r="Y127" i="6"/>
  <c r="X127" i="6"/>
  <c r="W127" i="6"/>
  <c r="V127" i="6"/>
  <c r="U127" i="6"/>
  <c r="T127" i="6"/>
  <c r="S127" i="6"/>
  <c r="D127" i="6"/>
  <c r="Z126" i="6"/>
  <c r="Y126" i="6"/>
  <c r="X126" i="6"/>
  <c r="W126" i="6"/>
  <c r="V126" i="6"/>
  <c r="U126" i="6"/>
  <c r="T126" i="6"/>
  <c r="S126" i="6"/>
  <c r="D126" i="6"/>
  <c r="Z125" i="6"/>
  <c r="Y125" i="6"/>
  <c r="X125" i="6"/>
  <c r="W125" i="6"/>
  <c r="V125" i="6"/>
  <c r="U125" i="6"/>
  <c r="T125" i="6"/>
  <c r="S125" i="6"/>
  <c r="D125" i="6"/>
  <c r="Z124" i="6"/>
  <c r="Y124" i="6"/>
  <c r="X124" i="6"/>
  <c r="W124" i="6"/>
  <c r="V124" i="6"/>
  <c r="U124" i="6"/>
  <c r="T124" i="6"/>
  <c r="S124" i="6"/>
  <c r="D124" i="6"/>
  <c r="Z123" i="6"/>
  <c r="Y123" i="6"/>
  <c r="X123" i="6"/>
  <c r="W123" i="6"/>
  <c r="V123" i="6"/>
  <c r="U123" i="6"/>
  <c r="T123" i="6"/>
  <c r="S123" i="6"/>
  <c r="D123" i="6"/>
  <c r="Z122" i="6"/>
  <c r="Y122" i="6"/>
  <c r="X122" i="6"/>
  <c r="W122" i="6"/>
  <c r="V122" i="6"/>
  <c r="U122" i="6"/>
  <c r="T122" i="6"/>
  <c r="S122" i="6"/>
  <c r="D122" i="6"/>
  <c r="C122" i="6"/>
  <c r="B122" i="6"/>
  <c r="B123" i="6" s="1"/>
  <c r="AC121" i="6"/>
  <c r="AB121" i="6"/>
  <c r="Z121" i="6"/>
  <c r="Y121" i="6"/>
  <c r="X121" i="6"/>
  <c r="W121" i="6"/>
  <c r="V121" i="6"/>
  <c r="U121" i="6"/>
  <c r="T121" i="6"/>
  <c r="S121" i="6"/>
  <c r="I121" i="6"/>
  <c r="R121" i="6" s="1"/>
  <c r="G121" i="6"/>
  <c r="K121" i="6" s="1"/>
  <c r="F121" i="6"/>
  <c r="E121" i="6"/>
  <c r="D121" i="6"/>
  <c r="B121" i="6"/>
  <c r="B153" i="6" s="1"/>
  <c r="A121" i="6"/>
  <c r="F120" i="6"/>
  <c r="I118" i="6"/>
  <c r="Z112" i="6"/>
  <c r="Y112" i="6"/>
  <c r="X112" i="6"/>
  <c r="W112" i="6"/>
  <c r="V112" i="6"/>
  <c r="U112" i="6"/>
  <c r="T112" i="6"/>
  <c r="S112" i="6"/>
  <c r="D112" i="6"/>
  <c r="Z111" i="6"/>
  <c r="Y111" i="6"/>
  <c r="X111" i="6"/>
  <c r="W111" i="6"/>
  <c r="V111" i="6"/>
  <c r="U111" i="6"/>
  <c r="T111" i="6"/>
  <c r="S111" i="6"/>
  <c r="D111" i="6"/>
  <c r="Z110" i="6"/>
  <c r="Y110" i="6"/>
  <c r="X110" i="6"/>
  <c r="W110" i="6"/>
  <c r="V110" i="6"/>
  <c r="U110" i="6"/>
  <c r="T110" i="6"/>
  <c r="S110" i="6"/>
  <c r="D110" i="6"/>
  <c r="Z109" i="6"/>
  <c r="Y109" i="6"/>
  <c r="X109" i="6"/>
  <c r="W109" i="6"/>
  <c r="V109" i="6"/>
  <c r="U109" i="6"/>
  <c r="T109" i="6"/>
  <c r="S109" i="6"/>
  <c r="D109" i="6"/>
  <c r="Z108" i="6"/>
  <c r="Y108" i="6"/>
  <c r="X108" i="6"/>
  <c r="W108" i="6"/>
  <c r="V108" i="6"/>
  <c r="U108" i="6"/>
  <c r="T108" i="6"/>
  <c r="S108" i="6"/>
  <c r="D108" i="6"/>
  <c r="Z107" i="6"/>
  <c r="Y107" i="6"/>
  <c r="X107" i="6"/>
  <c r="W107" i="6"/>
  <c r="V107" i="6"/>
  <c r="U107" i="6"/>
  <c r="T107" i="6"/>
  <c r="S107" i="6"/>
  <c r="D107" i="6"/>
  <c r="Z106" i="6"/>
  <c r="Y106" i="6"/>
  <c r="X106" i="6"/>
  <c r="W106" i="6"/>
  <c r="V106" i="6"/>
  <c r="U106" i="6"/>
  <c r="T106" i="6"/>
  <c r="S106" i="6"/>
  <c r="D106" i="6"/>
  <c r="Z105" i="6"/>
  <c r="Y105" i="6"/>
  <c r="X105" i="6"/>
  <c r="W105" i="6"/>
  <c r="V105" i="6"/>
  <c r="U105" i="6"/>
  <c r="T105" i="6"/>
  <c r="S105" i="6"/>
  <c r="D105" i="6"/>
  <c r="Z104" i="6"/>
  <c r="Y104" i="6"/>
  <c r="X104" i="6"/>
  <c r="W104" i="6"/>
  <c r="V104" i="6"/>
  <c r="U104" i="6"/>
  <c r="T104" i="6"/>
  <c r="S104" i="6"/>
  <c r="D104" i="6"/>
  <c r="Z103" i="6"/>
  <c r="Y103" i="6"/>
  <c r="X103" i="6"/>
  <c r="W103" i="6"/>
  <c r="V103" i="6"/>
  <c r="U103" i="6"/>
  <c r="T103" i="6"/>
  <c r="S103" i="6"/>
  <c r="D103" i="6"/>
  <c r="Z102" i="6"/>
  <c r="Y102" i="6"/>
  <c r="X102" i="6"/>
  <c r="W102" i="6"/>
  <c r="V102" i="6"/>
  <c r="U102" i="6"/>
  <c r="T102" i="6"/>
  <c r="S102" i="6"/>
  <c r="D102" i="6"/>
  <c r="Z101" i="6"/>
  <c r="Y101" i="6"/>
  <c r="X101" i="6"/>
  <c r="W101" i="6"/>
  <c r="V101" i="6"/>
  <c r="U101" i="6"/>
  <c r="T101" i="6"/>
  <c r="S101" i="6"/>
  <c r="D101" i="6"/>
  <c r="Z100" i="6"/>
  <c r="Y100" i="6"/>
  <c r="X100" i="6"/>
  <c r="W100" i="6"/>
  <c r="V100" i="6"/>
  <c r="U100" i="6"/>
  <c r="T100" i="6"/>
  <c r="S100" i="6"/>
  <c r="D100" i="6"/>
  <c r="Z99" i="6"/>
  <c r="Y99" i="6"/>
  <c r="X99" i="6"/>
  <c r="W99" i="6"/>
  <c r="V99" i="6"/>
  <c r="U99" i="6"/>
  <c r="T99" i="6"/>
  <c r="S99" i="6"/>
  <c r="D99" i="6"/>
  <c r="Z98" i="6"/>
  <c r="Y98" i="6"/>
  <c r="X98" i="6"/>
  <c r="W98" i="6"/>
  <c r="V98" i="6"/>
  <c r="U98" i="6"/>
  <c r="T98" i="6"/>
  <c r="S98" i="6"/>
  <c r="D98" i="6"/>
  <c r="Z97" i="6"/>
  <c r="Y97" i="6"/>
  <c r="X97" i="6"/>
  <c r="W97" i="6"/>
  <c r="V97" i="6"/>
  <c r="U97" i="6"/>
  <c r="T97" i="6"/>
  <c r="S97" i="6"/>
  <c r="D97" i="6"/>
  <c r="Z96" i="6"/>
  <c r="Y96" i="6"/>
  <c r="X96" i="6"/>
  <c r="W96" i="6"/>
  <c r="V96" i="6"/>
  <c r="U96" i="6"/>
  <c r="T96" i="6"/>
  <c r="S96" i="6"/>
  <c r="D96" i="6"/>
  <c r="Z95" i="6"/>
  <c r="Y95" i="6"/>
  <c r="X95" i="6"/>
  <c r="W95" i="6"/>
  <c r="V95" i="6"/>
  <c r="U95" i="6"/>
  <c r="T95" i="6"/>
  <c r="S95" i="6"/>
  <c r="D95" i="6"/>
  <c r="Z94" i="6"/>
  <c r="Y94" i="6"/>
  <c r="X94" i="6"/>
  <c r="W94" i="6"/>
  <c r="V94" i="6"/>
  <c r="U94" i="6"/>
  <c r="T94" i="6"/>
  <c r="S94" i="6"/>
  <c r="D94" i="6"/>
  <c r="Z93" i="6"/>
  <c r="Y93" i="6"/>
  <c r="X93" i="6"/>
  <c r="W93" i="6"/>
  <c r="V93" i="6"/>
  <c r="U93" i="6"/>
  <c r="T93" i="6"/>
  <c r="S93" i="6"/>
  <c r="D93" i="6"/>
  <c r="Z92" i="6"/>
  <c r="Y92" i="6"/>
  <c r="X92" i="6"/>
  <c r="W92" i="6"/>
  <c r="V92" i="6"/>
  <c r="U92" i="6"/>
  <c r="T92" i="6"/>
  <c r="S92" i="6"/>
  <c r="D92" i="6"/>
  <c r="Z91" i="6"/>
  <c r="Y91" i="6"/>
  <c r="X91" i="6"/>
  <c r="W91" i="6"/>
  <c r="V91" i="6"/>
  <c r="U91" i="6"/>
  <c r="T91" i="6"/>
  <c r="S91" i="6"/>
  <c r="D91" i="6"/>
  <c r="Z90" i="6"/>
  <c r="Y90" i="6"/>
  <c r="X90" i="6"/>
  <c r="W90" i="6"/>
  <c r="V90" i="6"/>
  <c r="U90" i="6"/>
  <c r="T90" i="6"/>
  <c r="S90" i="6"/>
  <c r="D90" i="6"/>
  <c r="Z89" i="6"/>
  <c r="Y89" i="6"/>
  <c r="X89" i="6"/>
  <c r="W89" i="6"/>
  <c r="V89" i="6"/>
  <c r="U89" i="6"/>
  <c r="T89" i="6"/>
  <c r="S89" i="6"/>
  <c r="D89" i="6"/>
  <c r="Z88" i="6"/>
  <c r="Y88" i="6"/>
  <c r="X88" i="6"/>
  <c r="W88" i="6"/>
  <c r="V88" i="6"/>
  <c r="U88" i="6"/>
  <c r="T88" i="6"/>
  <c r="S88" i="6"/>
  <c r="D88" i="6"/>
  <c r="Z87" i="6"/>
  <c r="Y87" i="6"/>
  <c r="X87" i="6"/>
  <c r="W87" i="6"/>
  <c r="V87" i="6"/>
  <c r="U87" i="6"/>
  <c r="T87" i="6"/>
  <c r="S87" i="6"/>
  <c r="D87" i="6"/>
  <c r="Z86" i="6"/>
  <c r="Y86" i="6"/>
  <c r="X86" i="6"/>
  <c r="W86" i="6"/>
  <c r="V86" i="6"/>
  <c r="U86" i="6"/>
  <c r="T86" i="6"/>
  <c r="S86" i="6"/>
  <c r="D86" i="6"/>
  <c r="Z85" i="6"/>
  <c r="Y85" i="6"/>
  <c r="X85" i="6"/>
  <c r="W85" i="6"/>
  <c r="V85" i="6"/>
  <c r="U85" i="6"/>
  <c r="T85" i="6"/>
  <c r="S85" i="6"/>
  <c r="D85" i="6"/>
  <c r="Z84" i="6"/>
  <c r="Y84" i="6"/>
  <c r="X84" i="6"/>
  <c r="W84" i="6"/>
  <c r="V84" i="6"/>
  <c r="U84" i="6"/>
  <c r="T84" i="6"/>
  <c r="S84" i="6"/>
  <c r="D84" i="6"/>
  <c r="Z83" i="6"/>
  <c r="Y83" i="6"/>
  <c r="X83" i="6"/>
  <c r="W83" i="6"/>
  <c r="V83" i="6"/>
  <c r="U83" i="6"/>
  <c r="T83" i="6"/>
  <c r="S83" i="6"/>
  <c r="D83" i="6"/>
  <c r="Z82" i="6"/>
  <c r="Y82" i="6"/>
  <c r="X82" i="6"/>
  <c r="W82" i="6"/>
  <c r="V82" i="6"/>
  <c r="U82" i="6"/>
  <c r="T82" i="6"/>
  <c r="S82" i="6"/>
  <c r="D82" i="6"/>
  <c r="A82" i="6"/>
  <c r="B82" i="6" s="1"/>
  <c r="F81" i="6"/>
  <c r="I79" i="6"/>
  <c r="A43" i="6"/>
  <c r="Z73" i="6"/>
  <c r="Y73" i="6"/>
  <c r="X73" i="6"/>
  <c r="W73" i="6"/>
  <c r="V73" i="6"/>
  <c r="U73" i="6"/>
  <c r="T73" i="6"/>
  <c r="S73" i="6"/>
  <c r="D73" i="6"/>
  <c r="Z72" i="6"/>
  <c r="Y72" i="6"/>
  <c r="X72" i="6"/>
  <c r="W72" i="6"/>
  <c r="V72" i="6"/>
  <c r="U72" i="6"/>
  <c r="T72" i="6"/>
  <c r="S72" i="6"/>
  <c r="D72" i="6"/>
  <c r="Z71" i="6"/>
  <c r="Y71" i="6"/>
  <c r="X71" i="6"/>
  <c r="W71" i="6"/>
  <c r="V71" i="6"/>
  <c r="U71" i="6"/>
  <c r="T71" i="6"/>
  <c r="S71" i="6"/>
  <c r="D71" i="6"/>
  <c r="Z70" i="6"/>
  <c r="Y70" i="6"/>
  <c r="X70" i="6"/>
  <c r="W70" i="6"/>
  <c r="V70" i="6"/>
  <c r="U70" i="6"/>
  <c r="T70" i="6"/>
  <c r="S70" i="6"/>
  <c r="D70" i="6"/>
  <c r="Z69" i="6"/>
  <c r="Y69" i="6"/>
  <c r="X69" i="6"/>
  <c r="W69" i="6"/>
  <c r="V69" i="6"/>
  <c r="U69" i="6"/>
  <c r="T69" i="6"/>
  <c r="S69" i="6"/>
  <c r="D69" i="6"/>
  <c r="Z68" i="6"/>
  <c r="Y68" i="6"/>
  <c r="X68" i="6"/>
  <c r="W68" i="6"/>
  <c r="V68" i="6"/>
  <c r="U68" i="6"/>
  <c r="T68" i="6"/>
  <c r="S68" i="6"/>
  <c r="D68" i="6"/>
  <c r="Z67" i="6"/>
  <c r="Y67" i="6"/>
  <c r="X67" i="6"/>
  <c r="W67" i="6"/>
  <c r="V67" i="6"/>
  <c r="U67" i="6"/>
  <c r="T67" i="6"/>
  <c r="S67" i="6"/>
  <c r="D67" i="6"/>
  <c r="Z66" i="6"/>
  <c r="Y66" i="6"/>
  <c r="X66" i="6"/>
  <c r="W66" i="6"/>
  <c r="V66" i="6"/>
  <c r="U66" i="6"/>
  <c r="T66" i="6"/>
  <c r="S66" i="6"/>
  <c r="D66" i="6"/>
  <c r="Z65" i="6"/>
  <c r="Y65" i="6"/>
  <c r="X65" i="6"/>
  <c r="W65" i="6"/>
  <c r="V65" i="6"/>
  <c r="U65" i="6"/>
  <c r="T65" i="6"/>
  <c r="S65" i="6"/>
  <c r="D65" i="6"/>
  <c r="Z64" i="6"/>
  <c r="Y64" i="6"/>
  <c r="X64" i="6"/>
  <c r="W64" i="6"/>
  <c r="V64" i="6"/>
  <c r="U64" i="6"/>
  <c r="T64" i="6"/>
  <c r="S64" i="6"/>
  <c r="D64" i="6"/>
  <c r="Z63" i="6"/>
  <c r="Y63" i="6"/>
  <c r="X63" i="6"/>
  <c r="W63" i="6"/>
  <c r="V63" i="6"/>
  <c r="U63" i="6"/>
  <c r="T63" i="6"/>
  <c r="S63" i="6"/>
  <c r="D63" i="6"/>
  <c r="Z62" i="6"/>
  <c r="Y62" i="6"/>
  <c r="X62" i="6"/>
  <c r="W62" i="6"/>
  <c r="V62" i="6"/>
  <c r="U62" i="6"/>
  <c r="T62" i="6"/>
  <c r="S62" i="6"/>
  <c r="D62" i="6"/>
  <c r="Z61" i="6"/>
  <c r="Y61" i="6"/>
  <c r="X61" i="6"/>
  <c r="W61" i="6"/>
  <c r="V61" i="6"/>
  <c r="U61" i="6"/>
  <c r="T61" i="6"/>
  <c r="S61" i="6"/>
  <c r="D61" i="6"/>
  <c r="Z60" i="6"/>
  <c r="Y60" i="6"/>
  <c r="X60" i="6"/>
  <c r="W60" i="6"/>
  <c r="V60" i="6"/>
  <c r="U60" i="6"/>
  <c r="T60" i="6"/>
  <c r="S60" i="6"/>
  <c r="D60" i="6"/>
  <c r="Z59" i="6"/>
  <c r="Y59" i="6"/>
  <c r="X59" i="6"/>
  <c r="W59" i="6"/>
  <c r="V59" i="6"/>
  <c r="U59" i="6"/>
  <c r="T59" i="6"/>
  <c r="S59" i="6"/>
  <c r="D59" i="6"/>
  <c r="Z58" i="6"/>
  <c r="Y58" i="6"/>
  <c r="X58" i="6"/>
  <c r="W58" i="6"/>
  <c r="V58" i="6"/>
  <c r="U58" i="6"/>
  <c r="T58" i="6"/>
  <c r="S58" i="6"/>
  <c r="D58" i="6"/>
  <c r="Z57" i="6"/>
  <c r="Y57" i="6"/>
  <c r="X57" i="6"/>
  <c r="W57" i="6"/>
  <c r="V57" i="6"/>
  <c r="U57" i="6"/>
  <c r="T57" i="6"/>
  <c r="S57" i="6"/>
  <c r="D57" i="6"/>
  <c r="Z56" i="6"/>
  <c r="Y56" i="6"/>
  <c r="X56" i="6"/>
  <c r="W56" i="6"/>
  <c r="V56" i="6"/>
  <c r="U56" i="6"/>
  <c r="T56" i="6"/>
  <c r="S56" i="6"/>
  <c r="D56" i="6"/>
  <c r="Z55" i="6"/>
  <c r="Y55" i="6"/>
  <c r="X55" i="6"/>
  <c r="W55" i="6"/>
  <c r="V55" i="6"/>
  <c r="U55" i="6"/>
  <c r="T55" i="6"/>
  <c r="S55" i="6"/>
  <c r="D55" i="6"/>
  <c r="Z54" i="6"/>
  <c r="Y54" i="6"/>
  <c r="X54" i="6"/>
  <c r="W54" i="6"/>
  <c r="V54" i="6"/>
  <c r="U54" i="6"/>
  <c r="T54" i="6"/>
  <c r="S54" i="6"/>
  <c r="D54" i="6"/>
  <c r="Z53" i="6"/>
  <c r="Y53" i="6"/>
  <c r="X53" i="6"/>
  <c r="W53" i="6"/>
  <c r="V53" i="6"/>
  <c r="U53" i="6"/>
  <c r="T53" i="6"/>
  <c r="S53" i="6"/>
  <c r="D53" i="6"/>
  <c r="Z52" i="6"/>
  <c r="Y52" i="6"/>
  <c r="X52" i="6"/>
  <c r="W52" i="6"/>
  <c r="V52" i="6"/>
  <c r="U52" i="6"/>
  <c r="T52" i="6"/>
  <c r="S52" i="6"/>
  <c r="D52" i="6"/>
  <c r="Z51" i="6"/>
  <c r="Y51" i="6"/>
  <c r="X51" i="6"/>
  <c r="W51" i="6"/>
  <c r="V51" i="6"/>
  <c r="U51" i="6"/>
  <c r="T51" i="6"/>
  <c r="S51" i="6"/>
  <c r="D51" i="6"/>
  <c r="Z50" i="6"/>
  <c r="Y50" i="6"/>
  <c r="X50" i="6"/>
  <c r="W50" i="6"/>
  <c r="V50" i="6"/>
  <c r="U50" i="6"/>
  <c r="T50" i="6"/>
  <c r="S50" i="6"/>
  <c r="D50" i="6"/>
  <c r="Z49" i="6"/>
  <c r="Y49" i="6"/>
  <c r="X49" i="6"/>
  <c r="W49" i="6"/>
  <c r="V49" i="6"/>
  <c r="U49" i="6"/>
  <c r="T49" i="6"/>
  <c r="S49" i="6"/>
  <c r="D49" i="6"/>
  <c r="Z48" i="6"/>
  <c r="Y48" i="6"/>
  <c r="X48" i="6"/>
  <c r="W48" i="6"/>
  <c r="V48" i="6"/>
  <c r="U48" i="6"/>
  <c r="T48" i="6"/>
  <c r="S48" i="6"/>
  <c r="D48" i="6"/>
  <c r="Z47" i="6"/>
  <c r="Y47" i="6"/>
  <c r="X47" i="6"/>
  <c r="W47" i="6"/>
  <c r="V47" i="6"/>
  <c r="U47" i="6"/>
  <c r="T47" i="6"/>
  <c r="S47" i="6"/>
  <c r="D47" i="6"/>
  <c r="Z46" i="6"/>
  <c r="Y46" i="6"/>
  <c r="X46" i="6"/>
  <c r="W46" i="6"/>
  <c r="V46" i="6"/>
  <c r="U46" i="6"/>
  <c r="T46" i="6"/>
  <c r="S46" i="6"/>
  <c r="D46" i="6"/>
  <c r="Z45" i="6"/>
  <c r="Y45" i="6"/>
  <c r="X45" i="6"/>
  <c r="W45" i="6"/>
  <c r="V45" i="6"/>
  <c r="U45" i="6"/>
  <c r="T45" i="6"/>
  <c r="S45" i="6"/>
  <c r="D45" i="6"/>
  <c r="Z44" i="6"/>
  <c r="Y44" i="6"/>
  <c r="X44" i="6"/>
  <c r="W44" i="6"/>
  <c r="V44" i="6"/>
  <c r="U44" i="6"/>
  <c r="T44" i="6"/>
  <c r="S44" i="6"/>
  <c r="D44" i="6"/>
  <c r="Z43" i="6"/>
  <c r="Y43" i="6"/>
  <c r="X43" i="6"/>
  <c r="W43" i="6"/>
  <c r="V43" i="6"/>
  <c r="U43" i="6"/>
  <c r="T43" i="6"/>
  <c r="S43" i="6"/>
  <c r="D43" i="6"/>
  <c r="B43" i="6"/>
  <c r="B75" i="6" s="1"/>
  <c r="F42" i="6"/>
  <c r="I40" i="6"/>
  <c r="N26" i="6"/>
  <c r="N27" i="6"/>
  <c r="N28" i="6"/>
  <c r="N29" i="6"/>
  <c r="N30" i="6"/>
  <c r="N31" i="6"/>
  <c r="N32" i="6"/>
  <c r="N33" i="6"/>
  <c r="N3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4" i="6"/>
  <c r="A189" i="7"/>
  <c r="B199" i="7" s="1"/>
  <c r="B174" i="7"/>
  <c r="A174" i="7"/>
  <c r="B184" i="7" s="1"/>
  <c r="B159" i="7"/>
  <c r="A159" i="7"/>
  <c r="B169" i="7" s="1"/>
  <c r="B144" i="7"/>
  <c r="A144" i="7"/>
  <c r="B154" i="7" s="1"/>
  <c r="A129" i="7"/>
  <c r="B139" i="7" s="1"/>
  <c r="B123" i="7"/>
  <c r="D123" i="7" s="1"/>
  <c r="E123" i="7" s="1"/>
  <c r="A114" i="7"/>
  <c r="B124" i="7" s="1"/>
  <c r="A99" i="7"/>
  <c r="B109" i="7" s="1"/>
  <c r="B94" i="7"/>
  <c r="D94" i="7" s="1"/>
  <c r="E94" i="7" s="1"/>
  <c r="A84" i="7"/>
  <c r="B93" i="7" s="1"/>
  <c r="A69" i="7"/>
  <c r="B79" i="7" s="1"/>
  <c r="A54" i="7"/>
  <c r="B64" i="7" s="1"/>
  <c r="A39" i="7"/>
  <c r="B49" i="7"/>
  <c r="D49" i="7" s="1"/>
  <c r="E49" i="7" s="1"/>
  <c r="B48" i="7"/>
  <c r="D48" i="7" s="1"/>
  <c r="E48" i="7" s="1"/>
  <c r="B39" i="7"/>
  <c r="C34" i="7"/>
  <c r="C33" i="7"/>
  <c r="J4" i="7"/>
  <c r="J3" i="7"/>
  <c r="G4" i="7"/>
  <c r="G3" i="7"/>
  <c r="D3" i="7"/>
  <c r="D4" i="7" s="1"/>
  <c r="S153" i="6" l="1"/>
  <c r="Z192" i="6"/>
  <c r="S387" i="6"/>
  <c r="Z426" i="6"/>
  <c r="S115" i="6"/>
  <c r="Y270" i="6"/>
  <c r="Y153" i="6"/>
  <c r="S193" i="6"/>
  <c r="S427" i="6"/>
  <c r="Z153" i="6"/>
  <c r="S232" i="6"/>
  <c r="S466" i="6"/>
  <c r="S271" i="6"/>
  <c r="Y387" i="6"/>
  <c r="Z387" i="6"/>
  <c r="S310" i="6"/>
  <c r="Y426" i="6"/>
  <c r="Y231" i="6"/>
  <c r="Y465" i="6"/>
  <c r="Z231" i="6"/>
  <c r="Z465" i="6"/>
  <c r="Z270" i="6"/>
  <c r="Y309" i="6"/>
  <c r="S349" i="6"/>
  <c r="Y114" i="6"/>
  <c r="Z309" i="6"/>
  <c r="Z114" i="6"/>
  <c r="S154" i="6"/>
  <c r="Y348" i="6"/>
  <c r="S388" i="6"/>
  <c r="Z348" i="6"/>
  <c r="B465" i="6"/>
  <c r="C433" i="6"/>
  <c r="T430" i="6"/>
  <c r="B466" i="6"/>
  <c r="B434" i="6"/>
  <c r="I433" i="6"/>
  <c r="E433" i="6"/>
  <c r="F433" i="6" s="1"/>
  <c r="S465" i="6"/>
  <c r="B426" i="6"/>
  <c r="C394" i="6"/>
  <c r="T391" i="6"/>
  <c r="B427" i="6"/>
  <c r="B395" i="6"/>
  <c r="I394" i="6"/>
  <c r="E394" i="6"/>
  <c r="F394" i="6" s="1"/>
  <c r="S426" i="6"/>
  <c r="B387" i="6"/>
  <c r="C355" i="6"/>
  <c r="T352" i="6"/>
  <c r="B388" i="6"/>
  <c r="B356" i="6"/>
  <c r="I355" i="6"/>
  <c r="E355" i="6"/>
  <c r="F355" i="6" s="1"/>
  <c r="E318" i="6"/>
  <c r="F318" i="6" s="1"/>
  <c r="C318" i="6"/>
  <c r="B319" i="6"/>
  <c r="G318" i="6"/>
  <c r="K318" i="6" s="1"/>
  <c r="I318" i="6"/>
  <c r="M316" i="6"/>
  <c r="L316" i="6"/>
  <c r="AA316" i="6"/>
  <c r="F316" i="6"/>
  <c r="AC316" i="6"/>
  <c r="K316" i="6"/>
  <c r="S348" i="6"/>
  <c r="C317" i="6"/>
  <c r="G317" i="6"/>
  <c r="H317" i="6" s="1"/>
  <c r="B349" i="6"/>
  <c r="I317" i="6"/>
  <c r="C316" i="6"/>
  <c r="B309" i="6"/>
  <c r="C277" i="6"/>
  <c r="T274" i="6"/>
  <c r="B310" i="6"/>
  <c r="B278" i="6"/>
  <c r="I277" i="6"/>
  <c r="E277" i="6"/>
  <c r="F277" i="6" s="1"/>
  <c r="S309" i="6"/>
  <c r="B270" i="6"/>
  <c r="C238" i="6"/>
  <c r="T235" i="6"/>
  <c r="B271" i="6"/>
  <c r="B239" i="6"/>
  <c r="I238" i="6"/>
  <c r="E238" i="6"/>
  <c r="F238" i="6" s="1"/>
  <c r="S270" i="6"/>
  <c r="B231" i="6"/>
  <c r="C199" i="6"/>
  <c r="T196" i="6"/>
  <c r="B232" i="6"/>
  <c r="B200" i="6"/>
  <c r="I199" i="6"/>
  <c r="E199" i="6"/>
  <c r="F199" i="6" s="1"/>
  <c r="S231" i="6"/>
  <c r="B192" i="6"/>
  <c r="C160" i="6"/>
  <c r="T157" i="6"/>
  <c r="B193" i="6"/>
  <c r="B161" i="6"/>
  <c r="I160" i="6"/>
  <c r="G160" i="6"/>
  <c r="H160" i="6" s="1"/>
  <c r="E160" i="6"/>
  <c r="F160" i="6" s="1"/>
  <c r="Y192" i="6"/>
  <c r="S192" i="6"/>
  <c r="E123" i="6"/>
  <c r="F123" i="6" s="1"/>
  <c r="C123" i="6"/>
  <c r="B124" i="6"/>
  <c r="I123" i="6"/>
  <c r="G123" i="6"/>
  <c r="H123" i="6" s="1"/>
  <c r="M121" i="6"/>
  <c r="L121" i="6"/>
  <c r="AA121" i="6"/>
  <c r="H121" i="6"/>
  <c r="E122" i="6"/>
  <c r="F122" i="6" s="1"/>
  <c r="B154" i="6"/>
  <c r="I122" i="6"/>
  <c r="T118" i="6"/>
  <c r="C121" i="6"/>
  <c r="B114" i="6"/>
  <c r="C82" i="6"/>
  <c r="T79" i="6"/>
  <c r="B115" i="6"/>
  <c r="B83" i="6"/>
  <c r="I82" i="6"/>
  <c r="G82" i="6"/>
  <c r="H82" i="6" s="1"/>
  <c r="E82" i="6"/>
  <c r="F82" i="6" s="1"/>
  <c r="S114" i="6"/>
  <c r="S76" i="6"/>
  <c r="Y75" i="6"/>
  <c r="Z75" i="6"/>
  <c r="E43" i="6"/>
  <c r="F43" i="6" s="1"/>
  <c r="I43" i="6"/>
  <c r="S75" i="6"/>
  <c r="B44" i="6"/>
  <c r="B76" i="6"/>
  <c r="T40" i="6"/>
  <c r="C43" i="6"/>
  <c r="D199" i="7"/>
  <c r="E199" i="7" s="1"/>
  <c r="C199" i="7"/>
  <c r="B189" i="7"/>
  <c r="B198" i="7"/>
  <c r="D184" i="7"/>
  <c r="E184" i="7" s="1"/>
  <c r="C184" i="7"/>
  <c r="B183" i="7"/>
  <c r="C169" i="7"/>
  <c r="D169" i="7" s="1"/>
  <c r="E169" i="7" s="1"/>
  <c r="B168" i="7"/>
  <c r="D154" i="7"/>
  <c r="E154" i="7" s="1"/>
  <c r="C154" i="7"/>
  <c r="B153" i="7"/>
  <c r="D139" i="7"/>
  <c r="E139" i="7" s="1"/>
  <c r="C139" i="7"/>
  <c r="B129" i="7"/>
  <c r="B138" i="7"/>
  <c r="D124" i="7"/>
  <c r="E124" i="7" s="1"/>
  <c r="C124" i="7"/>
  <c r="B114" i="7"/>
  <c r="C123" i="7"/>
  <c r="D109" i="7"/>
  <c r="E109" i="7" s="1"/>
  <c r="C109" i="7"/>
  <c r="B99" i="7"/>
  <c r="B108" i="7"/>
  <c r="B84" i="7"/>
  <c r="C94" i="7"/>
  <c r="D79" i="7"/>
  <c r="E79" i="7" s="1"/>
  <c r="C79" i="7"/>
  <c r="B69" i="7"/>
  <c r="B78" i="7"/>
  <c r="D64" i="7"/>
  <c r="E64" i="7" s="1"/>
  <c r="C64" i="7"/>
  <c r="B54" i="7"/>
  <c r="B63" i="7"/>
  <c r="C48" i="7"/>
  <c r="C49" i="7"/>
  <c r="G433" i="6" l="1"/>
  <c r="B435" i="6"/>
  <c r="I434" i="6"/>
  <c r="E434" i="6"/>
  <c r="F434" i="6" s="1"/>
  <c r="C434" i="6"/>
  <c r="R433" i="6"/>
  <c r="AC433" i="6"/>
  <c r="AB433" i="6"/>
  <c r="G394" i="6"/>
  <c r="R394" i="6" s="1"/>
  <c r="AC394" i="6"/>
  <c r="AB394" i="6"/>
  <c r="B396" i="6"/>
  <c r="I395" i="6"/>
  <c r="E395" i="6"/>
  <c r="F395" i="6" s="1"/>
  <c r="C395" i="6"/>
  <c r="G355" i="6"/>
  <c r="R355" i="6"/>
  <c r="AC355" i="6"/>
  <c r="AB355" i="6"/>
  <c r="B357" i="6"/>
  <c r="I356" i="6"/>
  <c r="E356" i="6"/>
  <c r="F356" i="6" s="1"/>
  <c r="C356" i="6"/>
  <c r="R318" i="6"/>
  <c r="AC318" i="6"/>
  <c r="AB318" i="6"/>
  <c r="B320" i="6"/>
  <c r="I319" i="6"/>
  <c r="E319" i="6"/>
  <c r="F319" i="6" s="1"/>
  <c r="C319" i="6"/>
  <c r="AC317" i="6"/>
  <c r="AB317" i="6"/>
  <c r="R317" i="6"/>
  <c r="H318" i="6"/>
  <c r="K317" i="6"/>
  <c r="AD316" i="6"/>
  <c r="R277" i="6"/>
  <c r="AC277" i="6"/>
  <c r="AB277" i="6"/>
  <c r="G277" i="6"/>
  <c r="B279" i="6"/>
  <c r="I278" i="6"/>
  <c r="E278" i="6"/>
  <c r="F278" i="6" s="1"/>
  <c r="C278" i="6"/>
  <c r="G238" i="6"/>
  <c r="R238" i="6"/>
  <c r="AC238" i="6"/>
  <c r="AB238" i="6"/>
  <c r="B240" i="6"/>
  <c r="I239" i="6"/>
  <c r="E239" i="6"/>
  <c r="F239" i="6" s="1"/>
  <c r="C239" i="6"/>
  <c r="G199" i="6"/>
  <c r="R199" i="6"/>
  <c r="AC199" i="6"/>
  <c r="AB199" i="6"/>
  <c r="B201" i="6"/>
  <c r="I200" i="6"/>
  <c r="E200" i="6"/>
  <c r="F200" i="6" s="1"/>
  <c r="C200" i="6"/>
  <c r="R160" i="6"/>
  <c r="AC160" i="6"/>
  <c r="AB160" i="6"/>
  <c r="K160" i="6"/>
  <c r="B162" i="6"/>
  <c r="I161" i="6"/>
  <c r="E161" i="6"/>
  <c r="F161" i="6" s="1"/>
  <c r="C161" i="6"/>
  <c r="R123" i="6"/>
  <c r="AC123" i="6"/>
  <c r="AB123" i="6"/>
  <c r="K123" i="6"/>
  <c r="B125" i="6"/>
  <c r="I124" i="6"/>
  <c r="E124" i="6"/>
  <c r="F124" i="6" s="1"/>
  <c r="C124" i="6"/>
  <c r="AC122" i="6"/>
  <c r="AB122" i="6"/>
  <c r="R122" i="6"/>
  <c r="G122" i="6"/>
  <c r="AD121" i="6"/>
  <c r="R82" i="6"/>
  <c r="AC82" i="6"/>
  <c r="AB82" i="6"/>
  <c r="B84" i="6"/>
  <c r="I83" i="6"/>
  <c r="G83" i="6"/>
  <c r="H83" i="6" s="1"/>
  <c r="E83" i="6"/>
  <c r="F83" i="6" s="1"/>
  <c r="C83" i="6"/>
  <c r="K82" i="6"/>
  <c r="G43" i="6"/>
  <c r="K43" i="6" s="1"/>
  <c r="B45" i="6"/>
  <c r="I44" i="6"/>
  <c r="E44" i="6"/>
  <c r="F44" i="6" s="1"/>
  <c r="C44" i="6"/>
  <c r="R43" i="6"/>
  <c r="AC43" i="6"/>
  <c r="AB43" i="6"/>
  <c r="H43" i="6"/>
  <c r="D198" i="7"/>
  <c r="E198" i="7" s="1"/>
  <c r="C198" i="7"/>
  <c r="D183" i="7"/>
  <c r="E183" i="7" s="1"/>
  <c r="C183" i="7"/>
  <c r="D168" i="7"/>
  <c r="E168" i="7" s="1"/>
  <c r="C168" i="7"/>
  <c r="D153" i="7"/>
  <c r="E153" i="7" s="1"/>
  <c r="C153" i="7"/>
  <c r="D138" i="7"/>
  <c r="E138" i="7" s="1"/>
  <c r="C138" i="7"/>
  <c r="D108" i="7"/>
  <c r="E108" i="7" s="1"/>
  <c r="C108" i="7"/>
  <c r="C93" i="7"/>
  <c r="D93" i="7" s="1"/>
  <c r="E93" i="7" s="1"/>
  <c r="D78" i="7"/>
  <c r="E78" i="7" s="1"/>
  <c r="C78" i="7"/>
  <c r="D63" i="7"/>
  <c r="E63" i="7" s="1"/>
  <c r="C63" i="7"/>
  <c r="B34" i="7"/>
  <c r="B33" i="7"/>
  <c r="N10" i="7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R3" i="3"/>
  <c r="R4" i="3"/>
  <c r="R5" i="3"/>
  <c r="R6" i="3"/>
  <c r="R7" i="3"/>
  <c r="R8" i="3"/>
  <c r="R9" i="3"/>
  <c r="R10" i="3"/>
  <c r="R11" i="3"/>
  <c r="R12" i="3"/>
  <c r="R13" i="3"/>
  <c r="R2" i="3"/>
  <c r="B24" i="7" s="1"/>
  <c r="A10" i="7"/>
  <c r="A11" i="7"/>
  <c r="A12" i="7"/>
  <c r="A13" i="7"/>
  <c r="A14" i="7"/>
  <c r="A15" i="7"/>
  <c r="A16" i="7"/>
  <c r="A17" i="7"/>
  <c r="A18" i="7"/>
  <c r="A19" i="7"/>
  <c r="A20" i="7"/>
  <c r="A9" i="7"/>
  <c r="G5" i="7"/>
  <c r="O34" i="6"/>
  <c r="C3" i="2"/>
  <c r="C3" i="10" s="1"/>
  <c r="C4" i="2"/>
  <c r="C4" i="10"/>
  <c r="C5" i="10"/>
  <c r="C6" i="10"/>
  <c r="C7" i="10"/>
  <c r="C8" i="10"/>
  <c r="C9" i="10"/>
  <c r="C10" i="10"/>
  <c r="C11" i="10"/>
  <c r="C12" i="10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O5" i="2"/>
  <c r="P5" i="2" s="1"/>
  <c r="O6" i="2"/>
  <c r="P6" i="2" s="1"/>
  <c r="O7" i="2"/>
  <c r="P7" i="2" s="1"/>
  <c r="O8" i="2"/>
  <c r="P8" i="2" s="1"/>
  <c r="O9" i="2"/>
  <c r="P9" i="2" s="1"/>
  <c r="O10" i="2"/>
  <c r="P10" i="2" s="1"/>
  <c r="O11" i="2"/>
  <c r="P11" i="2" s="1"/>
  <c r="O12" i="2"/>
  <c r="P12" i="2" s="1"/>
  <c r="O13" i="2"/>
  <c r="P13" i="2" s="1"/>
  <c r="O14" i="2"/>
  <c r="P14" i="2" s="1"/>
  <c r="O15" i="2"/>
  <c r="P15" i="2" s="1"/>
  <c r="O16" i="2"/>
  <c r="P16" i="2" s="1"/>
  <c r="O17" i="2"/>
  <c r="P17" i="2" s="1"/>
  <c r="O18" i="2"/>
  <c r="P18" i="2" s="1"/>
  <c r="O19" i="2"/>
  <c r="P19" i="2" s="1"/>
  <c r="O20" i="2"/>
  <c r="P20" i="2" s="1"/>
  <c r="O21" i="2"/>
  <c r="P21" i="2" s="1"/>
  <c r="O22" i="2"/>
  <c r="P22" i="2" s="1"/>
  <c r="O23" i="2"/>
  <c r="P23" i="2" s="1"/>
  <c r="O24" i="2"/>
  <c r="P24" i="2" s="1"/>
  <c r="O25" i="2"/>
  <c r="P25" i="2" s="1"/>
  <c r="O26" i="2"/>
  <c r="P26" i="2" s="1"/>
  <c r="O27" i="2"/>
  <c r="P27" i="2" s="1"/>
  <c r="O28" i="2"/>
  <c r="P28" i="2" s="1"/>
  <c r="O29" i="2"/>
  <c r="P29" i="2" s="1"/>
  <c r="O30" i="2"/>
  <c r="P30" i="2" s="1"/>
  <c r="O31" i="2"/>
  <c r="P31" i="2" s="1"/>
  <c r="O32" i="2"/>
  <c r="P32" i="2" s="1"/>
  <c r="O33" i="2"/>
  <c r="P33" i="2" s="1"/>
  <c r="O34" i="2"/>
  <c r="P34" i="2" s="1"/>
  <c r="O35" i="2"/>
  <c r="P35" i="2" s="1"/>
  <c r="O36" i="2"/>
  <c r="P36" i="2" s="1"/>
  <c r="O37" i="2"/>
  <c r="P37" i="2" s="1"/>
  <c r="O38" i="2"/>
  <c r="P38" i="2" s="1"/>
  <c r="O39" i="2"/>
  <c r="P39" i="2" s="1"/>
  <c r="O40" i="2"/>
  <c r="P40" i="2" s="1"/>
  <c r="O41" i="2"/>
  <c r="P41" i="2" s="1"/>
  <c r="O42" i="2"/>
  <c r="P42" i="2" s="1"/>
  <c r="O43" i="2"/>
  <c r="P43" i="2" s="1"/>
  <c r="O44" i="2"/>
  <c r="P44" i="2" s="1"/>
  <c r="O45" i="2"/>
  <c r="P45" i="2" s="1"/>
  <c r="O46" i="2"/>
  <c r="P46" i="2" s="1"/>
  <c r="O47" i="2"/>
  <c r="P47" i="2" s="1"/>
  <c r="O48" i="2"/>
  <c r="P48" i="2" s="1"/>
  <c r="O49" i="2"/>
  <c r="P49" i="2" s="1"/>
  <c r="O50" i="2"/>
  <c r="P50" i="2" s="1"/>
  <c r="O51" i="2"/>
  <c r="P51" i="2" s="1"/>
  <c r="O52" i="2"/>
  <c r="P52" i="2" s="1"/>
  <c r="O53" i="2"/>
  <c r="P53" i="2" s="1"/>
  <c r="O54" i="2"/>
  <c r="P54" i="2" s="1"/>
  <c r="O55" i="2"/>
  <c r="P55" i="2" s="1"/>
  <c r="O56" i="2"/>
  <c r="P56" i="2" s="1"/>
  <c r="O57" i="2"/>
  <c r="P57" i="2" s="1"/>
  <c r="O58" i="2"/>
  <c r="P58" i="2" s="1"/>
  <c r="O59" i="2"/>
  <c r="P59" i="2" s="1"/>
  <c r="O60" i="2"/>
  <c r="P60" i="2" s="1"/>
  <c r="O61" i="2"/>
  <c r="P61" i="2" s="1"/>
  <c r="O62" i="2"/>
  <c r="P62" i="2" s="1"/>
  <c r="O63" i="2"/>
  <c r="P63" i="2" s="1"/>
  <c r="O64" i="2"/>
  <c r="P64" i="2" s="1"/>
  <c r="O65" i="2"/>
  <c r="P65" i="2" s="1"/>
  <c r="O66" i="2"/>
  <c r="P66" i="2" s="1"/>
  <c r="O67" i="2"/>
  <c r="P67" i="2" s="1"/>
  <c r="O68" i="2"/>
  <c r="P68" i="2" s="1"/>
  <c r="O69" i="2"/>
  <c r="P69" i="2" s="1"/>
  <c r="O70" i="2"/>
  <c r="P70" i="2" s="1"/>
  <c r="O71" i="2"/>
  <c r="P71" i="2" s="1"/>
  <c r="O72" i="2"/>
  <c r="P72" i="2" s="1"/>
  <c r="O73" i="2"/>
  <c r="P73" i="2" s="1"/>
  <c r="O74" i="2"/>
  <c r="P74" i="2" s="1"/>
  <c r="O75" i="2"/>
  <c r="P75" i="2" s="1"/>
  <c r="I5" i="2"/>
  <c r="J5" i="2" s="1"/>
  <c r="I6" i="2"/>
  <c r="J6" i="2" s="1"/>
  <c r="I7" i="2"/>
  <c r="J7" i="2"/>
  <c r="I8" i="2"/>
  <c r="J8" i="2" s="1"/>
  <c r="I9" i="2"/>
  <c r="J9" i="2" s="1"/>
  <c r="I10" i="2"/>
  <c r="I11" i="2"/>
  <c r="I12" i="2"/>
  <c r="J12" i="2" s="1"/>
  <c r="I13" i="2"/>
  <c r="J13" i="2" s="1"/>
  <c r="I14" i="2"/>
  <c r="I15" i="2"/>
  <c r="J15" i="2" s="1"/>
  <c r="I16" i="2"/>
  <c r="Q16" i="2" s="1"/>
  <c r="I17" i="2"/>
  <c r="J17" i="2" s="1"/>
  <c r="I18" i="2"/>
  <c r="J18" i="2" s="1"/>
  <c r="I19" i="2"/>
  <c r="I20" i="2"/>
  <c r="Q20" i="2" s="1"/>
  <c r="I21" i="2"/>
  <c r="J21" i="2" s="1"/>
  <c r="I22" i="2"/>
  <c r="J22" i="2" s="1"/>
  <c r="I23" i="2"/>
  <c r="J23" i="2" s="1"/>
  <c r="I24" i="2"/>
  <c r="Q24" i="2" s="1"/>
  <c r="I25" i="2"/>
  <c r="J25" i="2" s="1"/>
  <c r="I26" i="2"/>
  <c r="J26" i="2" s="1"/>
  <c r="I27" i="2"/>
  <c r="J27" i="2" s="1"/>
  <c r="I28" i="2"/>
  <c r="Q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I52" i="2"/>
  <c r="I53" i="2"/>
  <c r="J53" i="2" s="1"/>
  <c r="I54" i="2"/>
  <c r="J54" i="2" s="1"/>
  <c r="I55" i="2"/>
  <c r="J55" i="2" s="1"/>
  <c r="I56" i="2"/>
  <c r="I57" i="2"/>
  <c r="J57" i="2" s="1"/>
  <c r="I58" i="2"/>
  <c r="J58" i="2" s="1"/>
  <c r="I59" i="2"/>
  <c r="J59" i="2" s="1"/>
  <c r="I60" i="2"/>
  <c r="I61" i="2"/>
  <c r="J61" i="2" s="1"/>
  <c r="I62" i="2"/>
  <c r="Q62" i="2" s="1"/>
  <c r="I63" i="2"/>
  <c r="J63" i="2" s="1"/>
  <c r="I64" i="2"/>
  <c r="I65" i="2"/>
  <c r="J65" i="2" s="1"/>
  <c r="I66" i="2"/>
  <c r="I67" i="2"/>
  <c r="I68" i="2"/>
  <c r="J68" i="2" s="1"/>
  <c r="I69" i="2"/>
  <c r="J69" i="2" s="1"/>
  <c r="I70" i="2"/>
  <c r="J70" i="2" s="1"/>
  <c r="I71" i="2"/>
  <c r="I72" i="2"/>
  <c r="J72" i="2" s="1"/>
  <c r="I73" i="2"/>
  <c r="J73" i="2" s="1"/>
  <c r="I74" i="2"/>
  <c r="I75" i="2"/>
  <c r="J75" i="2" s="1"/>
  <c r="B5" i="2"/>
  <c r="C5" i="2" s="1"/>
  <c r="AA433" i="6" l="1"/>
  <c r="M433" i="6"/>
  <c r="L433" i="6"/>
  <c r="AD433" i="6"/>
  <c r="G434" i="6"/>
  <c r="AC434" i="6"/>
  <c r="AB434" i="6"/>
  <c r="R434" i="6"/>
  <c r="E435" i="6"/>
  <c r="F435" i="6" s="1"/>
  <c r="C435" i="6"/>
  <c r="B436" i="6"/>
  <c r="I435" i="6"/>
  <c r="G435" i="6"/>
  <c r="H433" i="6"/>
  <c r="K433" i="6"/>
  <c r="M394" i="6"/>
  <c r="AD394" i="6" s="1"/>
  <c r="L394" i="6"/>
  <c r="G395" i="6"/>
  <c r="AC395" i="6"/>
  <c r="AB395" i="6"/>
  <c r="R395" i="6"/>
  <c r="E396" i="6"/>
  <c r="F396" i="6" s="1"/>
  <c r="C396" i="6"/>
  <c r="B397" i="6"/>
  <c r="I396" i="6"/>
  <c r="G396" i="6"/>
  <c r="AA394" i="6"/>
  <c r="H394" i="6"/>
  <c r="K394" i="6"/>
  <c r="G356" i="6"/>
  <c r="AC356" i="6"/>
  <c r="AB356" i="6"/>
  <c r="R356" i="6"/>
  <c r="E357" i="6"/>
  <c r="F357" i="6" s="1"/>
  <c r="C357" i="6"/>
  <c r="B358" i="6"/>
  <c r="I357" i="6"/>
  <c r="G357" i="6"/>
  <c r="AA355" i="6"/>
  <c r="M355" i="6"/>
  <c r="AD355" i="6" s="1"/>
  <c r="L355" i="6"/>
  <c r="H355" i="6"/>
  <c r="K355" i="6"/>
  <c r="M317" i="6"/>
  <c r="L317" i="6"/>
  <c r="AD317" i="6" s="1"/>
  <c r="AA317" i="6"/>
  <c r="AC319" i="6"/>
  <c r="AB319" i="6"/>
  <c r="R319" i="6"/>
  <c r="E320" i="6"/>
  <c r="F320" i="6" s="1"/>
  <c r="C320" i="6"/>
  <c r="I320" i="6"/>
  <c r="B321" i="6"/>
  <c r="AA318" i="6"/>
  <c r="G319" i="6"/>
  <c r="M318" i="6"/>
  <c r="AD318" i="6" s="1"/>
  <c r="L318" i="6"/>
  <c r="AC278" i="6"/>
  <c r="AB278" i="6"/>
  <c r="R278" i="6"/>
  <c r="G278" i="6"/>
  <c r="E279" i="6"/>
  <c r="F279" i="6" s="1"/>
  <c r="C279" i="6"/>
  <c r="B280" i="6"/>
  <c r="I279" i="6"/>
  <c r="G279" i="6"/>
  <c r="H279" i="6" s="1"/>
  <c r="H277" i="6"/>
  <c r="K277" i="6"/>
  <c r="AA277" i="6"/>
  <c r="M277" i="6"/>
  <c r="L277" i="6"/>
  <c r="AD277" i="6"/>
  <c r="E240" i="6"/>
  <c r="F240" i="6" s="1"/>
  <c r="C240" i="6"/>
  <c r="B241" i="6"/>
  <c r="I240" i="6"/>
  <c r="AC239" i="6"/>
  <c r="AB239" i="6"/>
  <c r="R239" i="6"/>
  <c r="AA238" i="6"/>
  <c r="G239" i="6"/>
  <c r="M238" i="6"/>
  <c r="L238" i="6"/>
  <c r="AD238" i="6"/>
  <c r="H238" i="6"/>
  <c r="K238" i="6"/>
  <c r="AC200" i="6"/>
  <c r="AB200" i="6"/>
  <c r="R200" i="6"/>
  <c r="E201" i="6"/>
  <c r="F201" i="6" s="1"/>
  <c r="C201" i="6"/>
  <c r="B202" i="6"/>
  <c r="I201" i="6"/>
  <c r="G201" i="6"/>
  <c r="H201" i="6" s="1"/>
  <c r="G200" i="6"/>
  <c r="AA199" i="6"/>
  <c r="M199" i="6"/>
  <c r="L199" i="6"/>
  <c r="AD199" i="6"/>
  <c r="H199" i="6"/>
  <c r="K199" i="6"/>
  <c r="G161" i="6"/>
  <c r="AC161" i="6"/>
  <c r="AB161" i="6"/>
  <c r="R161" i="6"/>
  <c r="E162" i="6"/>
  <c r="F162" i="6" s="1"/>
  <c r="C162" i="6"/>
  <c r="B163" i="6"/>
  <c r="I162" i="6"/>
  <c r="G162" i="6"/>
  <c r="K162" i="6" s="1"/>
  <c r="AA160" i="6"/>
  <c r="M160" i="6"/>
  <c r="L160" i="6"/>
  <c r="AD160" i="6" s="1"/>
  <c r="H122" i="6"/>
  <c r="K122" i="6"/>
  <c r="AA122" i="6"/>
  <c r="G124" i="6"/>
  <c r="G125" i="6"/>
  <c r="E125" i="6"/>
  <c r="F125" i="6" s="1"/>
  <c r="C125" i="6"/>
  <c r="B126" i="6"/>
  <c r="K125" i="6"/>
  <c r="I125" i="6"/>
  <c r="AA123" i="6"/>
  <c r="AC124" i="6"/>
  <c r="AB124" i="6"/>
  <c r="R124" i="6"/>
  <c r="M122" i="6"/>
  <c r="L122" i="6"/>
  <c r="M123" i="6"/>
  <c r="L123" i="6"/>
  <c r="AD123" i="6"/>
  <c r="AC83" i="6"/>
  <c r="AB83" i="6"/>
  <c r="R83" i="6"/>
  <c r="K83" i="6"/>
  <c r="E84" i="6"/>
  <c r="F84" i="6" s="1"/>
  <c r="C84" i="6"/>
  <c r="B85" i="6"/>
  <c r="I84" i="6"/>
  <c r="G84" i="6"/>
  <c r="H84" i="6" s="1"/>
  <c r="AA82" i="6"/>
  <c r="M82" i="6"/>
  <c r="L82" i="6"/>
  <c r="AD82" i="6"/>
  <c r="AA43" i="6"/>
  <c r="M43" i="6"/>
  <c r="L43" i="6"/>
  <c r="G44" i="6"/>
  <c r="AC44" i="6"/>
  <c r="AB44" i="6"/>
  <c r="R44" i="6"/>
  <c r="E45" i="6"/>
  <c r="F45" i="6" s="1"/>
  <c r="C45" i="6"/>
  <c r="B46" i="6"/>
  <c r="I45" i="6"/>
  <c r="Q19" i="2"/>
  <c r="Q52" i="2"/>
  <c r="Q14" i="2"/>
  <c r="Q67" i="2"/>
  <c r="Q32" i="2"/>
  <c r="Q43" i="2"/>
  <c r="Q64" i="2"/>
  <c r="Q35" i="2"/>
  <c r="J14" i="2"/>
  <c r="Q11" i="2"/>
  <c r="Q51" i="2"/>
  <c r="Q58" i="2"/>
  <c r="Q56" i="2"/>
  <c r="J28" i="2"/>
  <c r="Q7" i="2"/>
  <c r="Q48" i="2"/>
  <c r="Q34" i="2"/>
  <c r="Q26" i="2"/>
  <c r="Q71" i="2"/>
  <c r="B6" i="2"/>
  <c r="J52" i="2"/>
  <c r="Q66" i="2"/>
  <c r="Q10" i="2"/>
  <c r="Q74" i="2"/>
  <c r="J66" i="2"/>
  <c r="Q42" i="2"/>
  <c r="J43" i="2"/>
  <c r="Q12" i="2"/>
  <c r="Q75" i="2"/>
  <c r="Q6" i="2"/>
  <c r="Q55" i="2"/>
  <c r="Q60" i="2"/>
  <c r="Q23" i="2"/>
  <c r="Q44" i="2"/>
  <c r="Q39" i="2"/>
  <c r="J71" i="2"/>
  <c r="J60" i="2"/>
  <c r="J16" i="2"/>
  <c r="J11" i="2"/>
  <c r="Q30" i="2"/>
  <c r="Q18" i="2"/>
  <c r="Q70" i="2"/>
  <c r="J64" i="2"/>
  <c r="J20" i="2"/>
  <c r="J10" i="2"/>
  <c r="Q46" i="2"/>
  <c r="J74" i="2"/>
  <c r="J35" i="2"/>
  <c r="J19" i="2"/>
  <c r="Q68" i="2"/>
  <c r="J67" i="2"/>
  <c r="J62" i="2"/>
  <c r="J51" i="2"/>
  <c r="Q50" i="2"/>
  <c r="Q38" i="2"/>
  <c r="Q63" i="2"/>
  <c r="Q59" i="2"/>
  <c r="Q47" i="2"/>
  <c r="Q31" i="2"/>
  <c r="Q27" i="2"/>
  <c r="Q15" i="2"/>
  <c r="J56" i="2"/>
  <c r="J24" i="2"/>
  <c r="Q40" i="2"/>
  <c r="Q36" i="2"/>
  <c r="Q8" i="2"/>
  <c r="Q22" i="2"/>
  <c r="Q72" i="2"/>
  <c r="Q73" i="2"/>
  <c r="Q69" i="2"/>
  <c r="Q65" i="2"/>
  <c r="Q61" i="2"/>
  <c r="Q57" i="2"/>
  <c r="Q53" i="2"/>
  <c r="Q49" i="2"/>
  <c r="Q45" i="2"/>
  <c r="Q41" i="2"/>
  <c r="Q37" i="2"/>
  <c r="Q33" i="2"/>
  <c r="Q29" i="2"/>
  <c r="Q25" i="2"/>
  <c r="Q21" i="2"/>
  <c r="Q17" i="2"/>
  <c r="Q13" i="2"/>
  <c r="Q9" i="2"/>
  <c r="Q5" i="2"/>
  <c r="Q54" i="2"/>
  <c r="M434" i="6" l="1"/>
  <c r="L434" i="6"/>
  <c r="AD434" i="6" s="1"/>
  <c r="H435" i="6"/>
  <c r="K435" i="6"/>
  <c r="B437" i="6"/>
  <c r="I436" i="6"/>
  <c r="E436" i="6"/>
  <c r="F436" i="6" s="1"/>
  <c r="C436" i="6"/>
  <c r="AA434" i="6"/>
  <c r="H434" i="6"/>
  <c r="K434" i="6"/>
  <c r="N433" i="6"/>
  <c r="O433" i="6" s="1"/>
  <c r="P433" i="6"/>
  <c r="Q433" i="6" s="1"/>
  <c r="R435" i="6"/>
  <c r="AB435" i="6"/>
  <c r="AC435" i="6"/>
  <c r="H396" i="6"/>
  <c r="K396" i="6"/>
  <c r="B398" i="6"/>
  <c r="I397" i="6"/>
  <c r="E397" i="6"/>
  <c r="F397" i="6" s="1"/>
  <c r="C397" i="6"/>
  <c r="M395" i="6"/>
  <c r="L395" i="6"/>
  <c r="AD395" i="6"/>
  <c r="AA395" i="6"/>
  <c r="R396" i="6"/>
  <c r="AC396" i="6"/>
  <c r="AB396" i="6"/>
  <c r="H395" i="6"/>
  <c r="K395" i="6"/>
  <c r="N355" i="6"/>
  <c r="O355" i="6" s="1"/>
  <c r="H357" i="6"/>
  <c r="R357" i="6"/>
  <c r="AC357" i="6"/>
  <c r="AB357" i="6"/>
  <c r="K357" i="6"/>
  <c r="B359" i="6"/>
  <c r="I358" i="6"/>
  <c r="E358" i="6"/>
  <c r="F358" i="6" s="1"/>
  <c r="C358" i="6"/>
  <c r="P355" i="6"/>
  <c r="Q355" i="6" s="1"/>
  <c r="M356" i="6"/>
  <c r="L356" i="6"/>
  <c r="AD356" i="6"/>
  <c r="AA356" i="6"/>
  <c r="H356" i="6"/>
  <c r="K356" i="6"/>
  <c r="G320" i="6"/>
  <c r="AA319" i="6"/>
  <c r="B322" i="6"/>
  <c r="I321" i="6"/>
  <c r="E321" i="6"/>
  <c r="F321" i="6" s="1"/>
  <c r="C321" i="6"/>
  <c r="AB320" i="6"/>
  <c r="R320" i="6"/>
  <c r="AC320" i="6"/>
  <c r="M319" i="6"/>
  <c r="L319" i="6"/>
  <c r="N317" i="6"/>
  <c r="O317" i="6" s="1"/>
  <c r="N316" i="6"/>
  <c r="O316" i="6" s="1"/>
  <c r="H319" i="6"/>
  <c r="K319" i="6"/>
  <c r="P317" i="6"/>
  <c r="Q317" i="6" s="1"/>
  <c r="P316" i="6"/>
  <c r="Q316" i="6" s="1"/>
  <c r="R279" i="6"/>
  <c r="AC279" i="6"/>
  <c r="AB279" i="6"/>
  <c r="K279" i="6"/>
  <c r="B281" i="6"/>
  <c r="I280" i="6"/>
  <c r="E280" i="6"/>
  <c r="F280" i="6" s="1"/>
  <c r="C280" i="6"/>
  <c r="H278" i="6"/>
  <c r="K278" i="6"/>
  <c r="M278" i="6"/>
  <c r="L278" i="6"/>
  <c r="AA278" i="6"/>
  <c r="R240" i="6"/>
  <c r="AC240" i="6"/>
  <c r="AB240" i="6"/>
  <c r="H239" i="6"/>
  <c r="K239" i="6"/>
  <c r="M239" i="6"/>
  <c r="L239" i="6"/>
  <c r="AD239" i="6"/>
  <c r="AA239" i="6"/>
  <c r="G240" i="6"/>
  <c r="B242" i="6"/>
  <c r="I241" i="6"/>
  <c r="E241" i="6"/>
  <c r="F241" i="6" s="1"/>
  <c r="C241" i="6"/>
  <c r="K201" i="6"/>
  <c r="H200" i="6"/>
  <c r="K200" i="6"/>
  <c r="R201" i="6"/>
  <c r="AC201" i="6"/>
  <c r="AB201" i="6"/>
  <c r="B203" i="6"/>
  <c r="I202" i="6"/>
  <c r="E202" i="6"/>
  <c r="F202" i="6" s="1"/>
  <c r="C202" i="6"/>
  <c r="M200" i="6"/>
  <c r="L200" i="6"/>
  <c r="AA200" i="6"/>
  <c r="B164" i="6"/>
  <c r="I163" i="6"/>
  <c r="E163" i="6"/>
  <c r="F163" i="6" s="1"/>
  <c r="C163" i="6"/>
  <c r="R162" i="6"/>
  <c r="AC162" i="6"/>
  <c r="AB162" i="6"/>
  <c r="M161" i="6"/>
  <c r="L161" i="6"/>
  <c r="AD161" i="6"/>
  <c r="H162" i="6"/>
  <c r="AA161" i="6"/>
  <c r="H161" i="6"/>
  <c r="K161" i="6"/>
  <c r="N122" i="6"/>
  <c r="O122" i="6" s="1"/>
  <c r="N121" i="6"/>
  <c r="O121" i="6" s="1"/>
  <c r="AA124" i="6"/>
  <c r="P122" i="6"/>
  <c r="Q122" i="6" s="1"/>
  <c r="P121" i="6"/>
  <c r="Q121" i="6" s="1"/>
  <c r="M124" i="6"/>
  <c r="L124" i="6"/>
  <c r="AD124" i="6"/>
  <c r="H124" i="6"/>
  <c r="K124" i="6"/>
  <c r="N123" i="6"/>
  <c r="O123" i="6" s="1"/>
  <c r="P123" i="6"/>
  <c r="Q123" i="6" s="1"/>
  <c r="AB125" i="6"/>
  <c r="R125" i="6"/>
  <c r="AC125" i="6"/>
  <c r="B127" i="6"/>
  <c r="I126" i="6"/>
  <c r="E126" i="6"/>
  <c r="F126" i="6" s="1"/>
  <c r="C126" i="6"/>
  <c r="H125" i="6"/>
  <c r="AD122" i="6"/>
  <c r="R84" i="6"/>
  <c r="AC84" i="6"/>
  <c r="AB84" i="6"/>
  <c r="B86" i="6"/>
  <c r="I85" i="6"/>
  <c r="E85" i="6"/>
  <c r="F85" i="6" s="1"/>
  <c r="C85" i="6"/>
  <c r="M83" i="6"/>
  <c r="L83" i="6"/>
  <c r="AD83" i="6"/>
  <c r="K84" i="6"/>
  <c r="AA83" i="6"/>
  <c r="AD43" i="6"/>
  <c r="G45" i="6"/>
  <c r="H45" i="6" s="1"/>
  <c r="AA44" i="6"/>
  <c r="R45" i="6"/>
  <c r="AC45" i="6"/>
  <c r="AB45" i="6"/>
  <c r="H44" i="6"/>
  <c r="K44" i="6"/>
  <c r="B47" i="6"/>
  <c r="I46" i="6"/>
  <c r="E46" i="6"/>
  <c r="F46" i="6" s="1"/>
  <c r="C46" i="6"/>
  <c r="M44" i="6"/>
  <c r="AD44" i="6" s="1"/>
  <c r="L44" i="6"/>
  <c r="B7" i="2"/>
  <c r="C6" i="2"/>
  <c r="I194" i="3" a="1"/>
  <c r="I714" i="3" a="1"/>
  <c r="I711" i="3" a="1"/>
  <c r="I739" i="3" a="1"/>
  <c r="I774" i="3" a="1"/>
  <c r="I2" i="3" a="1"/>
  <c r="I841" i="3" a="1"/>
  <c r="I415" i="3" a="1"/>
  <c r="I421" i="3" a="1"/>
  <c r="I71" i="3" a="1"/>
  <c r="I996" i="3" a="1"/>
  <c r="I890" i="3" a="1"/>
  <c r="I557" i="3" a="1"/>
  <c r="I616" i="3" a="1"/>
  <c r="I166" i="3" a="1"/>
  <c r="I644" i="3" a="1"/>
  <c r="I367" i="3" a="1"/>
  <c r="I751" i="3" a="1"/>
  <c r="I617" i="3" a="1"/>
  <c r="I636" i="3" a="1"/>
  <c r="I950" i="3" a="1"/>
  <c r="I56" i="3" a="1"/>
  <c r="I505" i="3" a="1"/>
  <c r="I448" i="3" a="1"/>
  <c r="I47" i="3" a="1"/>
  <c r="I82" i="3" a="1"/>
  <c r="I461" i="3" a="1"/>
  <c r="I308" i="3" a="1"/>
  <c r="I207" i="3" a="1"/>
  <c r="I802" i="3" a="1"/>
  <c r="I836" i="3" a="1"/>
  <c r="I387" i="3" a="1"/>
  <c r="I976" i="3" a="1"/>
  <c r="I87" i="3" a="1"/>
  <c r="I477" i="3" a="1"/>
  <c r="I15" i="3" a="1"/>
  <c r="I462" i="3" a="1"/>
  <c r="I592" i="3" a="1"/>
  <c r="I440" i="3" a="1"/>
  <c r="I735" i="3" a="1"/>
  <c r="I225" i="3" a="1"/>
  <c r="I672" i="3" a="1"/>
  <c r="I480" i="3" a="1"/>
  <c r="I454" i="3" a="1"/>
  <c r="I201" i="3" a="1"/>
  <c r="I904" i="3" a="1"/>
  <c r="I717" i="3" a="1"/>
  <c r="I775" i="3" a="1"/>
  <c r="I885" i="3" a="1"/>
  <c r="I16" i="3" a="1"/>
  <c r="I74" i="3" a="1"/>
  <c r="I843" i="3" a="1"/>
  <c r="I363" i="3" a="1"/>
  <c r="I828" i="3" a="1"/>
  <c r="I381" i="3" a="1"/>
  <c r="I323" i="3" a="1"/>
  <c r="I785" i="3" a="1"/>
  <c r="I900" i="3" a="1"/>
  <c r="I372" i="3" a="1"/>
  <c r="I755" i="3" a="1"/>
  <c r="I728" i="3" a="1"/>
  <c r="I860" i="3" a="1"/>
  <c r="I369" i="3" a="1"/>
  <c r="I670" i="3" a="1"/>
  <c r="I470" i="3" a="1"/>
  <c r="I391" i="3" a="1"/>
  <c r="I550" i="3" a="1"/>
  <c r="I139" i="3" a="1"/>
  <c r="I81" i="3" a="1"/>
  <c r="I286" i="3" a="1"/>
  <c r="I377" i="3" a="1"/>
  <c r="I291" i="3" a="1"/>
  <c r="I531" i="3" a="1"/>
  <c r="I222" i="3" a="1"/>
  <c r="I937" i="3" a="1"/>
  <c r="I933" i="3" a="1"/>
  <c r="I980" i="3" a="1"/>
  <c r="I248" i="3" a="1"/>
  <c r="I265" i="3" a="1"/>
  <c r="I647" i="3" a="1"/>
  <c r="I983" i="3" a="1"/>
  <c r="I14" i="3" a="1"/>
  <c r="I585" i="3" a="1"/>
  <c r="I446" i="3" a="1"/>
  <c r="I615" i="3" a="1"/>
  <c r="I419" i="3" a="1"/>
  <c r="I93" i="3" a="1"/>
  <c r="I535" i="3" a="1"/>
  <c r="I511" i="3" a="1"/>
  <c r="I682" i="3" a="1"/>
  <c r="I260" i="3" a="1"/>
  <c r="I648" i="3" a="1"/>
  <c r="I411" i="3" a="1"/>
  <c r="I942" i="3" a="1"/>
  <c r="I902" i="3" a="1"/>
  <c r="I580" i="3" a="1"/>
  <c r="I404" i="3" a="1"/>
  <c r="I560" i="3" a="1"/>
  <c r="I416" i="3" a="1"/>
  <c r="I815" i="3" a="1"/>
  <c r="I97" i="3" a="1"/>
  <c r="I646" i="3" a="1"/>
  <c r="I923" i="3" a="1"/>
  <c r="I829" i="3" a="1"/>
  <c r="I43" i="3" a="1"/>
  <c r="I332" i="3" a="1"/>
  <c r="I270" i="3" a="1"/>
  <c r="I971" i="3" a="1"/>
  <c r="I302" i="3" a="1"/>
  <c r="I98" i="3" a="1"/>
  <c r="I812" i="3" a="1"/>
  <c r="I278" i="3" a="1"/>
  <c r="I743" i="3" a="1"/>
  <c r="I517" i="3" a="1"/>
  <c r="I914" i="3" a="1"/>
  <c r="I293" i="3" a="1"/>
  <c r="I64" i="3" a="1"/>
  <c r="I325" i="3" a="1"/>
  <c r="I612" i="3" a="1"/>
  <c r="I481" i="3" a="1"/>
  <c r="I126" i="3" a="1"/>
  <c r="I649" i="3" a="1"/>
  <c r="I55" i="3" a="1"/>
  <c r="I28" i="3" a="1"/>
  <c r="I279" i="3" a="1"/>
  <c r="I856" i="3" a="1"/>
  <c r="I316" i="3" a="1"/>
  <c r="I884" i="3" a="1"/>
  <c r="I29" i="3" a="1"/>
  <c r="I36" i="3" a="1"/>
  <c r="I127" i="3" a="1"/>
  <c r="I700" i="3" a="1"/>
  <c r="I487" i="3" a="1"/>
  <c r="I137" i="3" a="1"/>
  <c r="I767" i="3" a="1"/>
  <c r="I501" i="3" a="1"/>
  <c r="I525" i="3" a="1"/>
  <c r="I575" i="3" a="1"/>
  <c r="I591" i="3" a="1"/>
  <c r="I825" i="3" a="1"/>
  <c r="I337" i="3" a="1"/>
  <c r="I932" i="3" a="1"/>
  <c r="I922" i="3" a="1"/>
  <c r="I779" i="3" a="1"/>
  <c r="I911" i="3" a="1"/>
  <c r="I903" i="3" a="1"/>
  <c r="I83" i="3" a="1"/>
  <c r="I353" i="3" a="1"/>
  <c r="I228" i="3" a="1"/>
  <c r="I459" i="3" a="1"/>
  <c r="I590" i="3" a="1"/>
  <c r="I120" i="3" a="1"/>
  <c r="I269" i="3" a="1"/>
  <c r="I830" i="3" a="1"/>
  <c r="I21" i="3" a="1"/>
  <c r="I361" i="3" a="1"/>
  <c r="I586" i="3" a="1"/>
  <c r="I385" i="3" a="1"/>
  <c r="I145" i="3" a="1"/>
  <c r="I629" i="3" a="1"/>
  <c r="I24" i="3" a="1"/>
  <c r="I974" i="3" a="1"/>
  <c r="I554" i="3" a="1"/>
  <c r="I710" i="3" a="1"/>
  <c r="I460" i="3" a="1"/>
  <c r="I851" i="3" a="1"/>
  <c r="I519" i="3" a="1"/>
  <c r="I954" i="3" a="1"/>
  <c r="I132" i="3" a="1"/>
  <c r="I965" i="3" a="1"/>
  <c r="I244" i="3" a="1"/>
  <c r="I561" i="3" a="1"/>
  <c r="I964" i="3" a="1"/>
  <c r="I532" i="3" a="1"/>
  <c r="I614" i="3" a="1"/>
  <c r="I533" i="3" a="1"/>
  <c r="I819" i="3" a="1"/>
  <c r="I485" i="3" a="1"/>
  <c r="I44" i="3" a="1"/>
  <c r="I349" i="3" a="1"/>
  <c r="I705" i="3" a="1"/>
  <c r="I50" i="3" a="1"/>
  <c r="I784" i="3" a="1"/>
  <c r="I334" i="3" a="1"/>
  <c r="I259" i="3" a="1"/>
  <c r="I704" i="3" a="1"/>
  <c r="I678" i="3" a="1"/>
  <c r="I214" i="3" a="1"/>
  <c r="I578" i="3" a="1"/>
  <c r="I466" i="3" a="1"/>
  <c r="I905" i="3" a="1"/>
  <c r="I947" i="3" a="1"/>
  <c r="I834" i="3" a="1"/>
  <c r="I10" i="3" a="1"/>
  <c r="I712" i="3" a="1"/>
  <c r="I60" i="3" a="1"/>
  <c r="I500" i="3" a="1"/>
  <c r="I172" i="3" a="1"/>
  <c r="I184" i="3" a="1"/>
  <c r="I285" i="3" a="1"/>
  <c r="I634" i="3" a="1"/>
  <c r="I910" i="3" a="1"/>
  <c r="I246" i="3" a="1"/>
  <c r="I134" i="3" a="1"/>
  <c r="I992" i="3" a="1"/>
  <c r="I694" i="3" a="1"/>
  <c r="I936" i="3" a="1"/>
  <c r="I685" i="3" a="1"/>
  <c r="I787" i="3" a="1"/>
  <c r="I724" i="3" a="1"/>
  <c r="I887" i="3" a="1"/>
  <c r="I749" i="3" a="1"/>
  <c r="I409" i="3" a="1"/>
  <c r="I655" i="3" a="1"/>
  <c r="I297" i="3" a="1"/>
  <c r="I692" i="3" a="1"/>
  <c r="I895" i="3" a="1"/>
  <c r="I604" i="3" a="1"/>
  <c r="I553" i="3" a="1"/>
  <c r="I513" i="3" a="1"/>
  <c r="I102" i="3" a="1"/>
  <c r="I504" i="3" a="1"/>
  <c r="I427" i="3" a="1"/>
  <c r="I1002" i="3" a="1"/>
  <c r="I155" i="3" a="1"/>
  <c r="I383" i="3" a="1"/>
  <c r="I67" i="3" a="1"/>
  <c r="I877" i="3" a="1"/>
  <c r="I57" i="3" a="1"/>
  <c r="I3" i="3" a="1"/>
  <c r="I958" i="3" a="1"/>
  <c r="I924" i="3" a="1"/>
  <c r="I429" i="3" a="1"/>
  <c r="I38" i="3" a="1"/>
  <c r="I365" i="3" a="1"/>
  <c r="I364" i="3" a="1"/>
  <c r="I529" i="3" a="1"/>
  <c r="I486" i="3" a="1"/>
  <c r="I254" i="3" a="1"/>
  <c r="I850" i="3" a="1"/>
  <c r="I159" i="3" a="1"/>
  <c r="I818" i="3" a="1"/>
  <c r="I752" i="3" a="1"/>
  <c r="I331" i="3" a="1"/>
  <c r="I399" i="3" a="1"/>
  <c r="I162" i="3" a="1"/>
  <c r="I793" i="3" a="1"/>
  <c r="I878" i="3" a="1"/>
  <c r="I288" i="3" a="1"/>
  <c r="I583" i="3" a="1"/>
  <c r="I51" i="3" a="1"/>
  <c r="I894" i="3" a="1"/>
  <c r="I136" i="3" a="1"/>
  <c r="I110" i="3" a="1"/>
  <c r="I330" i="3" a="1"/>
  <c r="I309" i="3" a="1"/>
  <c r="I424" i="3" a="1"/>
  <c r="I664" i="3" a="1"/>
  <c r="I997" i="3" a="1"/>
  <c r="I430" i="3" a="1"/>
  <c r="I196" i="3" a="1"/>
  <c r="I175" i="3" a="1"/>
  <c r="I445" i="3" a="1"/>
  <c r="I938" i="3" a="1"/>
  <c r="I516" i="3" a="1"/>
  <c r="I675" i="3" a="1"/>
  <c r="I208" i="3" a="1"/>
  <c r="I85" i="3" a="1"/>
  <c r="I977" i="3" a="1"/>
  <c r="I438" i="3" a="1"/>
  <c r="I483" i="3" a="1"/>
  <c r="I893" i="3" a="1"/>
  <c r="I341" i="3" a="1"/>
  <c r="I249" i="3" a="1"/>
  <c r="I859" i="3" a="1"/>
  <c r="I760" i="3" a="1"/>
  <c r="I530" i="3" a="1"/>
  <c r="I723" i="3" a="1"/>
  <c r="I781" i="3" a="1"/>
  <c r="I901" i="3" a="1"/>
  <c r="I762" i="3" a="1"/>
  <c r="I310" i="3" a="1"/>
  <c r="I108" i="3" a="1"/>
  <c r="I133" i="3" a="1"/>
  <c r="I299" i="3" a="1"/>
  <c r="I563" i="3" a="1"/>
  <c r="I245" i="3" a="1"/>
  <c r="I748" i="3" a="1"/>
  <c r="I826" i="3" a="1"/>
  <c r="I447" i="3" a="1"/>
  <c r="I112" i="3" a="1"/>
  <c r="I601" i="3" a="1"/>
  <c r="I917" i="3" a="1"/>
  <c r="I654" i="3" a="1"/>
  <c r="I582" i="3" a="1"/>
  <c r="I312" i="3" a="1"/>
  <c r="I4" i="3" a="1"/>
  <c r="I665" i="3" a="1"/>
  <c r="I880" i="3" a="1"/>
  <c r="I515" i="3" a="1"/>
  <c r="I661" i="3" a="1"/>
  <c r="I827" i="3" a="1"/>
  <c r="I160" i="3" a="1"/>
  <c r="I984" i="3" a="1"/>
  <c r="I104" i="3" a="1"/>
  <c r="I318" i="3" a="1"/>
  <c r="I61" i="3" a="1"/>
  <c r="I400" i="3" a="1"/>
  <c r="I875" i="3" a="1"/>
  <c r="I164" i="3" a="1"/>
  <c r="I720" i="3" a="1"/>
  <c r="I89" i="3" a="1"/>
  <c r="I9" i="3" a="1"/>
  <c r="I243" i="3" a="1"/>
  <c r="I301" i="3" a="1"/>
  <c r="I115" i="3" a="1"/>
  <c r="I376" i="3" a="1"/>
  <c r="I88" i="3" a="1"/>
  <c r="I866" i="3" a="1"/>
  <c r="I295" i="3" a="1"/>
  <c r="I800" i="3" a="1"/>
  <c r="I30" i="3" a="1"/>
  <c r="I570" i="3" a="1"/>
  <c r="I853" i="3" a="1"/>
  <c r="I198" i="3" a="1"/>
  <c r="I772" i="3" a="1"/>
  <c r="I702" i="3" a="1"/>
  <c r="I268" i="3" a="1"/>
  <c r="I709" i="3" a="1"/>
  <c r="I788" i="3" a="1"/>
  <c r="I876" i="3" a="1"/>
  <c r="I135" i="3" a="1"/>
  <c r="I907" i="3" a="1"/>
  <c r="I489" i="3" a="1"/>
  <c r="I357" i="3" a="1"/>
  <c r="I125" i="3" a="1"/>
  <c r="I844" i="3" a="1"/>
  <c r="I366" i="3" a="1"/>
  <c r="I764" i="3" a="1"/>
  <c r="I147" i="3" a="1"/>
  <c r="I177" i="3" a="1"/>
  <c r="I490" i="3" a="1"/>
  <c r="I96" i="3" a="1"/>
  <c r="I744" i="3" a="1"/>
  <c r="I128" i="3" a="1"/>
  <c r="I493" i="3" a="1"/>
  <c r="I791" i="3" a="1"/>
  <c r="I59" i="3" a="1"/>
  <c r="I808" i="3" a="1"/>
  <c r="I240" i="3" a="1"/>
  <c r="I835" i="3" a="1"/>
  <c r="I234" i="3" a="1"/>
  <c r="I451" i="3" a="1"/>
  <c r="I726" i="3" a="1"/>
  <c r="I813" i="3" a="1"/>
  <c r="I934" i="3" a="1"/>
  <c r="I916" i="3" a="1"/>
  <c r="I1003" i="3" a="1"/>
  <c r="I277" i="3" a="1"/>
  <c r="I559" i="3" a="1"/>
  <c r="I149" i="3" a="1"/>
  <c r="I729" i="3" a="1"/>
  <c r="I858" i="3" a="1"/>
  <c r="I740" i="3" a="1"/>
  <c r="I975" i="3" a="1"/>
  <c r="I754" i="3" a="1"/>
  <c r="I881" i="3" a="1"/>
  <c r="I425" i="3" a="1"/>
  <c r="I972" i="3" a="1"/>
  <c r="I594" i="3" a="1"/>
  <c r="I99" i="3" a="1"/>
  <c r="I227" i="3" a="1"/>
  <c r="I58" i="3" a="1"/>
  <c r="I673" i="3" a="1"/>
  <c r="I701" i="3" a="1"/>
  <c r="I899" i="3" a="1"/>
  <c r="I401" i="3" a="1"/>
  <c r="I333" i="3" a="1"/>
  <c r="I428" i="3" a="1"/>
  <c r="I979" i="3" a="1"/>
  <c r="I640" i="3" a="1"/>
  <c r="I918" i="3" a="1"/>
  <c r="I344" i="3" a="1"/>
  <c r="I537" i="3" a="1"/>
  <c r="I676" i="3" a="1"/>
  <c r="I26" i="3" a="1"/>
  <c r="I789" i="3" a="1"/>
  <c r="I450" i="3" a="1"/>
  <c r="I639" i="3" a="1"/>
  <c r="I252" i="3" a="1"/>
  <c r="I33" i="3" a="1"/>
  <c r="I317" i="3" a="1"/>
  <c r="I769" i="3" a="1"/>
  <c r="I986" i="3" a="1"/>
  <c r="I925" i="3" a="1"/>
  <c r="I423" i="3" a="1"/>
  <c r="I857" i="3" a="1"/>
  <c r="I396" i="3" a="1"/>
  <c r="I298" i="3" a="1"/>
  <c r="I235" i="3" a="1"/>
  <c r="I579" i="3" a="1"/>
  <c r="I103" i="3" a="1"/>
  <c r="I319" i="3" a="1"/>
  <c r="I946" i="3" a="1"/>
  <c r="I508" i="3" a="1"/>
  <c r="I241" i="3" a="1"/>
  <c r="I534" i="3" a="1"/>
  <c r="I814" i="3" a="1"/>
  <c r="I542" i="3" a="1"/>
  <c r="I888" i="3" a="1"/>
  <c r="I730" i="3" a="1"/>
  <c r="I209" i="3" a="1"/>
  <c r="I123" i="3" a="1"/>
  <c r="I406" i="3" a="1"/>
  <c r="I883" i="3" a="1"/>
  <c r="I218" i="3" a="1"/>
  <c r="I831" i="3" a="1"/>
  <c r="I488" i="3" a="1"/>
  <c r="I232" i="3" a="1"/>
  <c r="I949" i="3" a="1"/>
  <c r="I521" i="3" a="1"/>
  <c r="I593" i="3" a="1"/>
  <c r="I221" i="3" a="1"/>
  <c r="I595" i="3" a="1"/>
  <c r="I287" i="3" a="1"/>
  <c r="I727" i="3" a="1"/>
  <c r="I405" i="3" a="1"/>
  <c r="I599" i="3" a="1"/>
  <c r="I994" i="3" a="1"/>
  <c r="I609" i="3" a="1"/>
  <c r="I6" i="3" a="1"/>
  <c r="I122" i="3" a="1"/>
  <c r="I547" i="3" a="1"/>
  <c r="I238" i="3" a="1"/>
  <c r="I86" i="3" a="1"/>
  <c r="I908" i="3" a="1"/>
  <c r="I343" i="3" a="1"/>
  <c r="I48" i="3" a="1"/>
  <c r="I27" i="3" a="1"/>
  <c r="I261" i="3" a="1"/>
  <c r="I229" i="3" a="1"/>
  <c r="I484" i="3" a="1"/>
  <c r="I731" i="3" a="1"/>
  <c r="I170" i="3" a="1"/>
  <c r="I889" i="3" a="1"/>
  <c r="I34" i="3" a="1"/>
  <c r="I205" i="3" a="1"/>
  <c r="I792" i="3" a="1"/>
  <c r="I659" i="3" a="1"/>
  <c r="I539" i="3" a="1"/>
  <c r="I641" i="3" a="1"/>
  <c r="I100" i="3" a="1"/>
  <c r="I944" i="3" a="1"/>
  <c r="I926" i="3" a="1"/>
  <c r="I761" i="3" a="1"/>
  <c r="I121" i="3" a="1"/>
  <c r="I697" i="3" a="1"/>
  <c r="I187" i="3" a="1"/>
  <c r="I453" i="3" a="1"/>
  <c r="I119" i="3" a="1"/>
  <c r="I766" i="3" a="1"/>
  <c r="I606" i="3" a="1"/>
  <c r="I737" i="3" a="1"/>
  <c r="I632" i="3" a="1"/>
  <c r="I113" i="3" a="1"/>
  <c r="I630" i="3" a="1"/>
  <c r="I763" i="3" a="1"/>
  <c r="I548" i="3" a="1"/>
  <c r="I452" i="3" a="1"/>
  <c r="I847" i="3" a="1"/>
  <c r="I862" i="3" a="1"/>
  <c r="I90" i="3" a="1"/>
  <c r="I25" i="3" a="1"/>
  <c r="I681" i="3" a="1"/>
  <c r="I197" i="3" a="1"/>
  <c r="I443" i="3" a="1"/>
  <c r="I22" i="3" a="1"/>
  <c r="I378" i="3" a="1"/>
  <c r="I1004" i="3" a="1"/>
  <c r="I179" i="3" a="1"/>
  <c r="I603" i="3" a="1"/>
  <c r="I143" i="3" a="1"/>
  <c r="I418" i="3" a="1"/>
  <c r="I652" i="3" a="1"/>
  <c r="I190" i="3" a="1"/>
  <c r="I358" i="3" a="1"/>
  <c r="I130" i="3" a="1"/>
  <c r="I204" i="3" a="1"/>
  <c r="I392" i="3" a="1"/>
  <c r="I699" i="3" a="1"/>
  <c r="I909" i="3" a="1"/>
  <c r="I374" i="3" a="1"/>
  <c r="I928" i="3" a="1"/>
  <c r="I78" i="3" a="1"/>
  <c r="I386" i="3" a="1"/>
  <c r="I503" i="3" a="1"/>
  <c r="I382" i="3" a="1"/>
  <c r="I256" i="3" a="1"/>
  <c r="I163" i="3" a="1"/>
  <c r="I403" i="3" a="1"/>
  <c r="I495" i="3" a="1"/>
  <c r="I795" i="3" a="1"/>
  <c r="I955" i="3" a="1"/>
  <c r="I864" i="3" a="1"/>
  <c r="I351" i="3" a="1"/>
  <c r="I526" i="3" a="1"/>
  <c r="I973" i="3" a="1"/>
  <c r="I46" i="3" a="1"/>
  <c r="I73" i="3" a="1"/>
  <c r="I845" i="3" a="1"/>
  <c r="I915" i="3" a="1"/>
  <c r="I304" i="3" a="1"/>
  <c r="I131" i="3" a="1"/>
  <c r="I706" i="3" a="1"/>
  <c r="I313" i="3" a="1"/>
  <c r="I968" i="3" a="1"/>
  <c r="I303" i="3" a="1"/>
  <c r="I963" i="3" a="1"/>
  <c r="I848" i="3" a="1"/>
  <c r="I350" i="3" a="1"/>
  <c r="I840" i="3" a="1"/>
  <c r="I573" i="3" a="1"/>
  <c r="I389" i="3" a="1"/>
  <c r="I146" i="3" a="1"/>
  <c r="I703" i="3" a="1"/>
  <c r="I413" i="3" a="1"/>
  <c r="I469" i="3" a="1"/>
  <c r="I854" i="3" a="1"/>
  <c r="I223" i="3" a="1"/>
  <c r="I441" i="3" a="1"/>
  <c r="I492" i="3" a="1"/>
  <c r="I1000" i="3" a="1"/>
  <c r="I275" i="3" a="1"/>
  <c r="I861" i="3" a="1"/>
  <c r="I114" i="3" a="1"/>
  <c r="I960" i="3" a="1"/>
  <c r="I94" i="3" a="1"/>
  <c r="I45" i="3" a="1"/>
  <c r="I807" i="3" a="1"/>
  <c r="I263" i="3" a="1"/>
  <c r="I439" i="3" a="1"/>
  <c r="I280" i="3" a="1"/>
  <c r="I456" i="3" a="1"/>
  <c r="I536" i="3" a="1"/>
  <c r="I394" i="3" a="1"/>
  <c r="I718" i="3" a="1"/>
  <c r="I671" i="3" a="1"/>
  <c r="I921" i="3" a="1"/>
  <c r="I393" i="3" a="1"/>
  <c r="I886" i="3" a="1"/>
  <c r="I817" i="3" a="1"/>
  <c r="I322" i="3" a="1"/>
  <c r="I816" i="3" a="1"/>
  <c r="I882" i="3" a="1"/>
  <c r="I465" i="3" a="1"/>
  <c r="I284" i="3" a="1"/>
  <c r="I568" i="3" a="1"/>
  <c r="I181" i="3" a="1"/>
  <c r="I161" i="3" a="1"/>
  <c r="I663" i="3" a="1"/>
  <c r="I662" i="3" a="1"/>
  <c r="I176" i="3" a="1"/>
  <c r="I65" i="3" a="1"/>
  <c r="I397" i="3" a="1"/>
  <c r="I346" i="3" a="1"/>
  <c r="I371" i="3" a="1"/>
  <c r="I237" i="3" a="1"/>
  <c r="I272" i="3" a="1"/>
  <c r="I432" i="3" a="1"/>
  <c r="I474" i="3" a="1"/>
  <c r="I995" i="3" a="1"/>
  <c r="I538" i="3" a="1"/>
  <c r="I375" i="3" a="1"/>
  <c r="I544" i="3" a="1"/>
  <c r="I215" i="3" a="1"/>
  <c r="I572" i="3" a="1"/>
  <c r="I567" i="3" a="1"/>
  <c r="I352" i="3" a="1"/>
  <c r="I998" i="3" a="1"/>
  <c r="I684" i="3" a="1"/>
  <c r="I750" i="3" a="1"/>
  <c r="I833" i="3" a="1"/>
  <c r="I141" i="3" a="1"/>
  <c r="I753" i="3" a="1"/>
  <c r="I338" i="3" a="1"/>
  <c r="I635" i="3" a="1"/>
  <c r="I722" i="3" a="1"/>
  <c r="I607" i="3" a="1"/>
  <c r="I300" i="3" a="1"/>
  <c r="I721" i="3" a="1"/>
  <c r="I496" i="3" a="1"/>
  <c r="I305" i="3" a="1"/>
  <c r="I777" i="3" a="1"/>
  <c r="I157" i="3" a="1"/>
  <c r="I719" i="3" a="1"/>
  <c r="I951" i="3" a="1"/>
  <c r="I360" i="3" a="1"/>
  <c r="I892" i="3" a="1"/>
  <c r="I348" i="3" a="1"/>
  <c r="I657" i="3" a="1"/>
  <c r="I388" i="3" a="1"/>
  <c r="I870" i="3" a="1"/>
  <c r="I39" i="3" a="1"/>
  <c r="I412" i="3" a="1"/>
  <c r="I780" i="3" a="1"/>
  <c r="I499" i="3" a="1"/>
  <c r="I891" i="3" a="1"/>
  <c r="I689" i="3" a="1"/>
  <c r="I129" i="3" a="1"/>
  <c r="I566" i="3" a="1"/>
  <c r="I757" i="3" a="1"/>
  <c r="I472" i="3" a="1"/>
  <c r="I356" i="3" a="1"/>
  <c r="I824" i="3" a="1"/>
  <c r="I435" i="3" a="1"/>
  <c r="I233" i="3" a="1"/>
  <c r="I54" i="3" a="1"/>
  <c r="I821" i="3" a="1"/>
  <c r="I645" i="3" a="1"/>
  <c r="I732" i="3" a="1"/>
  <c r="I577" i="3" a="1"/>
  <c r="I262" i="3" a="1"/>
  <c r="I549" i="3" a="1"/>
  <c r="I154" i="3" a="1"/>
  <c r="I990" i="3" a="1"/>
  <c r="I930" i="3" a="1"/>
  <c r="I613" i="3" a="1"/>
  <c r="I335" i="3" a="1"/>
  <c r="I799" i="3" a="1"/>
  <c r="I173" i="3" a="1"/>
  <c r="I987" i="3" a="1"/>
  <c r="I597" i="3" a="1"/>
  <c r="I320" i="3" a="1"/>
  <c r="I874" i="3" a="1"/>
  <c r="I379" i="3" a="1"/>
  <c r="I274" i="3" a="1"/>
  <c r="I202" i="3" a="1"/>
  <c r="I565" i="3" a="1"/>
  <c r="I683" i="3" a="1"/>
  <c r="I768" i="3" a="1"/>
  <c r="I738" i="3" a="1"/>
  <c r="I957" i="3" a="1"/>
  <c r="I11" i="3" a="1"/>
  <c r="I76" i="3" a="1"/>
  <c r="I105" i="3" a="1"/>
  <c r="I745" i="3" a="1"/>
  <c r="I801" i="3" a="1"/>
  <c r="I962" i="3" a="1"/>
  <c r="I733" i="3" a="1"/>
  <c r="I806" i="3" a="1"/>
  <c r="I63" i="3" a="1"/>
  <c r="I574" i="3" a="1"/>
  <c r="I426" i="3" a="1"/>
  <c r="I434" i="3" a="1"/>
  <c r="I952" i="3" a="1"/>
  <c r="I666" i="3" a="1"/>
  <c r="I811" i="3" a="1"/>
  <c r="I608" i="3" a="1"/>
  <c r="I32" i="3" a="1"/>
  <c r="I502" i="3" a="1"/>
  <c r="I267" i="3" a="1"/>
  <c r="I868" i="3" a="1"/>
  <c r="I321" i="3" a="1"/>
  <c r="I395" i="3" a="1"/>
  <c r="I328" i="3" a="1"/>
  <c r="I509" i="3" a="1"/>
  <c r="I589" i="3" a="1"/>
  <c r="I736" i="3" a="1"/>
  <c r="I276" i="3" a="1"/>
  <c r="I107" i="3" a="1"/>
  <c r="I698" i="3" a="1"/>
  <c r="I982" i="3" a="1"/>
  <c r="I520" i="3" a="1"/>
  <c r="I970" i="3" a="1"/>
  <c r="I948" i="3" a="1"/>
  <c r="I528" i="3" a="1"/>
  <c r="I340" i="3" a="1"/>
  <c r="I512" i="3" a="1"/>
  <c r="I959" i="3" a="1"/>
  <c r="I985" i="3" a="1"/>
  <c r="I605" i="3" a="1"/>
  <c r="I770" i="3" a="1"/>
  <c r="I42" i="3" a="1"/>
  <c r="I551" i="3" a="1"/>
  <c r="I326" i="3" a="1"/>
  <c r="I188" i="3" a="1"/>
  <c r="I906" i="3" a="1"/>
  <c r="I296" i="3" a="1"/>
  <c r="I13" i="3" a="1"/>
  <c r="I414" i="3" a="1"/>
  <c r="I491" i="3" a="1"/>
  <c r="I494" i="3" a="1"/>
  <c r="I191" i="3" a="1"/>
  <c r="I569" i="3" a="1"/>
  <c r="I408" i="3" a="1"/>
  <c r="I637" i="3" a="1"/>
  <c r="I167" i="3" a="1"/>
  <c r="I52" i="3" a="1"/>
  <c r="I433" i="3" a="1"/>
  <c r="I584" i="3" a="1"/>
  <c r="I292" i="3" a="1"/>
  <c r="I464" i="3" a="1"/>
  <c r="I368" i="3" a="1"/>
  <c r="I786" i="3" a="1"/>
  <c r="I1001" i="3" a="1"/>
  <c r="I258" i="3" a="1"/>
  <c r="I138" i="3" a="1"/>
  <c r="I206" i="3" a="1"/>
  <c r="I867" i="3" a="1"/>
  <c r="I686" i="3" a="1"/>
  <c r="I716" i="3" a="1"/>
  <c r="I790" i="3" a="1"/>
  <c r="I70" i="3" a="1"/>
  <c r="I336" i="3" a="1"/>
  <c r="I156" i="3" a="1"/>
  <c r="I475" i="3" a="1"/>
  <c r="I794" i="3" a="1"/>
  <c r="I809" i="3" a="1"/>
  <c r="I442" i="3" a="1"/>
  <c r="I417" i="3" a="1"/>
  <c r="I660" i="3" a="1"/>
  <c r="I151" i="3" a="1"/>
  <c r="I776" i="3" a="1"/>
  <c r="I541" i="3" a="1"/>
  <c r="I879" i="3" a="1"/>
  <c r="I264" i="3" a="1"/>
  <c r="I746" i="3" a="1"/>
  <c r="I625" i="3" a="1"/>
  <c r="I823" i="3" a="1"/>
  <c r="I12" i="3" a="1"/>
  <c r="I540" i="3" a="1"/>
  <c r="I522" i="3" a="1"/>
  <c r="I468" i="3" a="1"/>
  <c r="I653" i="3" a="1"/>
  <c r="I281" i="3" a="1"/>
  <c r="I855" i="3" a="1"/>
  <c r="I436" i="3" a="1"/>
  <c r="I832" i="3" a="1"/>
  <c r="I8" i="3" a="1"/>
  <c r="I562" i="3" a="1"/>
  <c r="I765" i="3" a="1"/>
  <c r="I651" i="3" a="1"/>
  <c r="I273" i="3" a="1"/>
  <c r="I967" i="3" a="1"/>
  <c r="I314" i="3" a="1"/>
  <c r="I863" i="3" a="1"/>
  <c r="I518" i="3" a="1"/>
  <c r="I242" i="3" a="1"/>
  <c r="I182" i="3" a="1"/>
  <c r="I708" i="3" a="1"/>
  <c r="I759" i="3" a="1"/>
  <c r="I271" i="3" a="1"/>
  <c r="I150" i="3" a="1"/>
  <c r="I991" i="3" a="1"/>
  <c r="I610" i="3" a="1"/>
  <c r="I239" i="3" a="1"/>
  <c r="I390" i="3" a="1"/>
  <c r="I101" i="3" a="1"/>
  <c r="I478" i="3" a="1"/>
  <c r="I707" i="3" a="1"/>
  <c r="I929" i="3" a="1"/>
  <c r="I993" i="3" a="1"/>
  <c r="I558" i="3" a="1"/>
  <c r="I747" i="3" a="1"/>
  <c r="I431" i="3" a="1"/>
  <c r="I783" i="3" a="1"/>
  <c r="I327" i="3" a="1"/>
  <c r="I18" i="3" a="1"/>
  <c r="I482" i="3" a="1"/>
  <c r="I656" i="3" a="1"/>
  <c r="I250" i="3" a="1"/>
  <c r="I77" i="3" a="1"/>
  <c r="I674" i="3" a="1"/>
  <c r="I956" i="3" a="1"/>
  <c r="I771" i="3" a="1"/>
  <c r="I5" i="3" a="1"/>
  <c r="I183" i="3" a="1"/>
  <c r="I658" i="3" a="1"/>
  <c r="I839" i="3" a="1"/>
  <c r="I359" i="3" a="1"/>
  <c r="I927" i="3" a="1"/>
  <c r="I169" i="3" a="1"/>
  <c r="I527" i="3" a="1"/>
  <c r="I342" i="3" a="1"/>
  <c r="I981" i="3" a="1"/>
  <c r="I203" i="3" a="1"/>
  <c r="I978" i="3" a="1"/>
  <c r="I407" i="3" a="1"/>
  <c r="I912" i="3" a="1"/>
  <c r="I913" i="3" a="1"/>
  <c r="I106" i="3" a="1"/>
  <c r="I852" i="3" a="1"/>
  <c r="I355" i="3" a="1"/>
  <c r="I687" i="3" a="1"/>
  <c r="I311" i="3" a="1"/>
  <c r="I782" i="3" a="1"/>
  <c r="I734" i="3" a="1"/>
  <c r="I810" i="3" a="1"/>
  <c r="I693" i="3" a="1"/>
  <c r="I507" i="3" a="1"/>
  <c r="I144" i="3" a="1"/>
  <c r="I402" i="3" a="1"/>
  <c r="I631" i="3" a="1"/>
  <c r="I696" i="3" a="1"/>
  <c r="I498" i="3" a="1"/>
  <c r="I677" i="3" a="1"/>
  <c r="I186" i="3" a="1"/>
  <c r="I628" i="3" a="1"/>
  <c r="I920" i="3" a="1"/>
  <c r="I479" i="3" a="1"/>
  <c r="I552" i="3" a="1"/>
  <c r="I940" i="3" a="1"/>
  <c r="I142" i="3" a="1"/>
  <c r="I457" i="3" a="1"/>
  <c r="I471" i="3" a="1"/>
  <c r="I84" i="3" a="1"/>
  <c r="I543" i="3" a="1"/>
  <c r="I80" i="3" a="1"/>
  <c r="I650" i="3" a="1"/>
  <c r="I247" i="3" a="1"/>
  <c r="I185" i="3" a="1"/>
  <c r="I945" i="3" a="1"/>
  <c r="I329" i="3" a="1"/>
  <c r="I79" i="3" a="1"/>
  <c r="I192" i="3" a="1"/>
  <c r="I224" i="3" a="1"/>
  <c r="I72" i="3" a="1"/>
  <c r="I210" i="3" a="1"/>
  <c r="I680" i="3" a="1"/>
  <c r="I422" i="3" a="1"/>
  <c r="I315" i="3" a="1"/>
  <c r="I873" i="3" a="1"/>
  <c r="I961" i="3" a="1"/>
  <c r="I476" i="3" a="1"/>
  <c r="I756" i="3" a="1"/>
  <c r="I837" i="3" a="1"/>
  <c r="I642" i="3" a="1"/>
  <c r="I600" i="3" a="1"/>
  <c r="I62" i="3" a="1"/>
  <c r="I17" i="3" a="1"/>
  <c r="I255" i="3" a="1"/>
  <c r="I347" i="3" a="1"/>
  <c r="I116" i="3" a="1"/>
  <c r="I620" i="3" a="1"/>
  <c r="I564" i="3" a="1"/>
  <c r="I581" i="3" a="1"/>
  <c r="I679" i="3" a="1"/>
  <c r="I111" i="3" a="1"/>
  <c r="I989" i="3" a="1"/>
  <c r="I571" i="3" a="1"/>
  <c r="I362" i="3" a="1"/>
  <c r="I758" i="3" a="1"/>
  <c r="I506" i="3" a="1"/>
  <c r="I174" i="3" a="1"/>
  <c r="I49" i="3" a="1"/>
  <c r="I523" i="3" a="1"/>
  <c r="I230" i="3" a="1"/>
  <c r="I180" i="3" a="1"/>
  <c r="I941" i="3" a="1"/>
  <c r="I797" i="3" a="1"/>
  <c r="I598" i="3" a="1"/>
  <c r="I588" i="3" a="1"/>
  <c r="I95" i="3" a="1"/>
  <c r="I193" i="3" a="1"/>
  <c r="I213" i="3" a="1"/>
  <c r="I289" i="3" a="1"/>
  <c r="I231" i="3" a="1"/>
  <c r="I596" i="3" a="1"/>
  <c r="I7" i="3" a="1"/>
  <c r="I803" i="3" a="1"/>
  <c r="I212" i="3" a="1"/>
  <c r="I688" i="3" a="1"/>
  <c r="I842" i="3" a="1"/>
  <c r="I587" i="3" a="1"/>
  <c r="I838" i="3" a="1"/>
  <c r="I804" i="3" a="1"/>
  <c r="I897" i="3" a="1"/>
  <c r="I199" i="3" a="1"/>
  <c r="I257" i="3" a="1"/>
  <c r="I695" i="3" a="1"/>
  <c r="I555" i="3" a="1"/>
  <c r="I226" i="3" a="1"/>
  <c r="I35" i="3" a="1"/>
  <c r="I189" i="3" a="1"/>
  <c r="I669" i="3" a="1"/>
  <c r="I667" i="3" a="1"/>
  <c r="I622" i="3" a="1"/>
  <c r="I966" i="3" a="1"/>
  <c r="I200" i="3" a="1"/>
  <c r="I919" i="3" a="1"/>
  <c r="I455" i="3" a="1"/>
  <c r="I410" i="3" a="1"/>
  <c r="I23" i="3" a="1"/>
  <c r="I869" i="3" a="1"/>
  <c r="I69" i="3" a="1"/>
  <c r="I988" i="3" a="1"/>
  <c r="I545" i="3" a="1"/>
  <c r="I623" i="3" a="1"/>
  <c r="I118" i="3" a="1"/>
  <c r="I943" i="3" a="1"/>
  <c r="I627" i="3" a="1"/>
  <c r="I420" i="3" a="1"/>
  <c r="I354" i="3" a="1"/>
  <c r="I370" i="3" a="1"/>
  <c r="I524" i="3" a="1"/>
  <c r="I324" i="3" a="1"/>
  <c r="I290" i="3" a="1"/>
  <c r="I437" i="3" a="1"/>
  <c r="I514" i="3" a="1"/>
  <c r="I211" i="3" a="1"/>
  <c r="I220" i="3" a="1"/>
  <c r="I307" i="3" a="1"/>
  <c r="I935" i="3" a="1"/>
  <c r="I152" i="3" a="1"/>
  <c r="I75" i="3" a="1"/>
  <c r="I626" i="3" a="1"/>
  <c r="I217" i="3" a="1"/>
  <c r="I165" i="3" a="1"/>
  <c r="I444" i="3" a="1"/>
  <c r="I621" i="3" a="1"/>
  <c r="I339" i="3" a="1"/>
  <c r="I846" i="3" a="1"/>
  <c r="I773" i="3" a="1"/>
  <c r="I236" i="3" a="1"/>
  <c r="I467" i="3" a="1"/>
  <c r="I449" i="3" a="1"/>
  <c r="I219" i="3" a="1"/>
  <c r="I778" i="3" a="1"/>
  <c r="I725" i="3" a="1"/>
  <c r="I546" i="3" a="1"/>
  <c r="I148" i="3" a="1"/>
  <c r="I690" i="3" a="1"/>
  <c r="I266" i="3" a="1"/>
  <c r="I611" i="3" a="1"/>
  <c r="I999" i="3" a="1"/>
  <c r="I91" i="3" a="1"/>
  <c r="I20" i="3" a="1"/>
  <c r="I345" i="3" a="1"/>
  <c r="I871" i="3" a="1"/>
  <c r="I969" i="3" a="1"/>
  <c r="I153" i="3" a="1"/>
  <c r="I282" i="3" a="1"/>
  <c r="I473" i="3" a="1"/>
  <c r="I691" i="3" a="1"/>
  <c r="I37" i="3" a="1"/>
  <c r="I158" i="3" a="1"/>
  <c r="I41" i="3" a="1"/>
  <c r="I822" i="3" a="1"/>
  <c r="I497" i="3" a="1"/>
  <c r="I373" i="3" a="1"/>
  <c r="I195" i="3" a="1"/>
  <c r="I713" i="3" a="1"/>
  <c r="I576" i="3" a="1"/>
  <c r="I872" i="3" a="1"/>
  <c r="I463" i="3" a="1"/>
  <c r="I953" i="3" a="1"/>
  <c r="I294" i="3" a="1"/>
  <c r="I458" i="3" a="1"/>
  <c r="I796" i="3" a="1"/>
  <c r="I140" i="3" a="1"/>
  <c r="I820" i="3" a="1"/>
  <c r="I619" i="3" a="1"/>
  <c r="I742" i="3" a="1"/>
  <c r="I624" i="3" a="1"/>
  <c r="I178" i="3" a="1"/>
  <c r="I283" i="3" a="1"/>
  <c r="I171" i="3" a="1"/>
  <c r="I805" i="3" a="1"/>
  <c r="I898" i="3" a="1"/>
  <c r="I68" i="3" a="1"/>
  <c r="I384" i="3" a="1"/>
  <c r="I556" i="3" a="1"/>
  <c r="I931" i="3" a="1"/>
  <c r="I865" i="3" a="1"/>
  <c r="I40" i="3" a="1"/>
  <c r="I216" i="3" a="1"/>
  <c r="I602" i="3" a="1"/>
  <c r="I633" i="3" a="1"/>
  <c r="I124" i="3" a="1"/>
  <c r="I251" i="3" a="1"/>
  <c r="I168" i="3" a="1"/>
  <c r="I66" i="3" a="1"/>
  <c r="I380" i="3" a="1"/>
  <c r="I939" i="3" a="1"/>
  <c r="I92" i="3" a="1"/>
  <c r="I109" i="3" a="1"/>
  <c r="I53" i="3" a="1"/>
  <c r="I715" i="3" a="1"/>
  <c r="I643" i="3" a="1"/>
  <c r="I510" i="3" a="1"/>
  <c r="I117" i="3" a="1"/>
  <c r="I398" i="3" a="1"/>
  <c r="I668" i="3" a="1"/>
  <c r="I19" i="3" a="1"/>
  <c r="I306" i="3" a="1"/>
  <c r="I618" i="3" a="1"/>
  <c r="I798" i="3" a="1"/>
  <c r="I31" i="3" a="1"/>
  <c r="I638" i="3" a="1"/>
  <c r="I849" i="3" a="1"/>
  <c r="I253" i="3" a="1"/>
  <c r="I896" i="3" a="1"/>
  <c r="I741" i="3" a="1"/>
  <c r="G436" i="6" l="1"/>
  <c r="G437" i="6"/>
  <c r="E437" i="6"/>
  <c r="F437" i="6" s="1"/>
  <c r="C437" i="6"/>
  <c r="I437" i="6"/>
  <c r="B438" i="6"/>
  <c r="K437" i="6"/>
  <c r="AC436" i="6"/>
  <c r="AB436" i="6"/>
  <c r="R436" i="6"/>
  <c r="AA435" i="6"/>
  <c r="M435" i="6"/>
  <c r="L435" i="6"/>
  <c r="AD435" i="6"/>
  <c r="AA396" i="6"/>
  <c r="G397" i="6"/>
  <c r="M396" i="6"/>
  <c r="AD396" i="6" s="1"/>
  <c r="L396" i="6"/>
  <c r="N395" i="6" s="1"/>
  <c r="O395" i="6" s="1"/>
  <c r="E398" i="6"/>
  <c r="F398" i="6" s="1"/>
  <c r="C398" i="6"/>
  <c r="B399" i="6"/>
  <c r="I398" i="6"/>
  <c r="AC397" i="6"/>
  <c r="AB397" i="6"/>
  <c r="R397" i="6"/>
  <c r="N394" i="6"/>
  <c r="O394" i="6" s="1"/>
  <c r="P394" i="6"/>
  <c r="Q394" i="6" s="1"/>
  <c r="G358" i="6"/>
  <c r="AC358" i="6"/>
  <c r="AB358" i="6"/>
  <c r="R358" i="6"/>
  <c r="E359" i="6"/>
  <c r="F359" i="6" s="1"/>
  <c r="C359" i="6"/>
  <c r="B360" i="6"/>
  <c r="I359" i="6"/>
  <c r="AA357" i="6"/>
  <c r="M357" i="6"/>
  <c r="L357" i="6"/>
  <c r="AD357" i="6"/>
  <c r="AD319" i="6"/>
  <c r="N318" i="6"/>
  <c r="O318" i="6" s="1"/>
  <c r="M320" i="6"/>
  <c r="AD320" i="6" s="1"/>
  <c r="L320" i="6"/>
  <c r="AA320" i="6"/>
  <c r="R321" i="6"/>
  <c r="AC321" i="6"/>
  <c r="AB321" i="6"/>
  <c r="I322" i="6"/>
  <c r="E322" i="6"/>
  <c r="F322" i="6" s="1"/>
  <c r="B323" i="6"/>
  <c r="C322" i="6"/>
  <c r="G321" i="6"/>
  <c r="N319" i="6"/>
  <c r="O319" i="6" s="1"/>
  <c r="H320" i="6"/>
  <c r="K320" i="6"/>
  <c r="P318" i="6"/>
  <c r="Q318" i="6" s="1"/>
  <c r="P277" i="6"/>
  <c r="Q277" i="6" s="1"/>
  <c r="G280" i="6"/>
  <c r="AA279" i="6"/>
  <c r="M279" i="6"/>
  <c r="L279" i="6"/>
  <c r="AD279" i="6" s="1"/>
  <c r="AC280" i="6"/>
  <c r="AB280" i="6"/>
  <c r="R280" i="6"/>
  <c r="G281" i="6"/>
  <c r="H281" i="6" s="1"/>
  <c r="E281" i="6"/>
  <c r="F281" i="6" s="1"/>
  <c r="C281" i="6"/>
  <c r="B282" i="6"/>
  <c r="I281" i="6"/>
  <c r="N277" i="6"/>
  <c r="O277" i="6" s="1"/>
  <c r="P278" i="6"/>
  <c r="Q278" i="6" s="1"/>
  <c r="AD278" i="6"/>
  <c r="N238" i="6"/>
  <c r="O238" i="6" s="1"/>
  <c r="AA240" i="6"/>
  <c r="M240" i="6"/>
  <c r="AD240" i="6" s="1"/>
  <c r="L240" i="6"/>
  <c r="G241" i="6"/>
  <c r="P238" i="6"/>
  <c r="Q238" i="6" s="1"/>
  <c r="AC241" i="6"/>
  <c r="AB241" i="6"/>
  <c r="R241" i="6"/>
  <c r="H240" i="6"/>
  <c r="K240" i="6"/>
  <c r="G242" i="6"/>
  <c r="H242" i="6" s="1"/>
  <c r="E242" i="6"/>
  <c r="F242" i="6" s="1"/>
  <c r="C242" i="6"/>
  <c r="B243" i="6"/>
  <c r="I242" i="6"/>
  <c r="G202" i="6"/>
  <c r="E203" i="6"/>
  <c r="F203" i="6" s="1"/>
  <c r="C203" i="6"/>
  <c r="B204" i="6"/>
  <c r="I203" i="6"/>
  <c r="AA201" i="6"/>
  <c r="AC202" i="6"/>
  <c r="AB202" i="6"/>
  <c r="R202" i="6"/>
  <c r="M201" i="6"/>
  <c r="L201" i="6"/>
  <c r="AD201" i="6"/>
  <c r="N199" i="6"/>
  <c r="O199" i="6" s="1"/>
  <c r="AD200" i="6"/>
  <c r="P199" i="6"/>
  <c r="Q199" i="6" s="1"/>
  <c r="N200" i="6"/>
  <c r="O200" i="6" s="1"/>
  <c r="AC163" i="6"/>
  <c r="AB163" i="6"/>
  <c r="R163" i="6"/>
  <c r="AA162" i="6"/>
  <c r="N160" i="6"/>
  <c r="O160" i="6" s="1"/>
  <c r="E164" i="6"/>
  <c r="F164" i="6" s="1"/>
  <c r="C164" i="6"/>
  <c r="B165" i="6"/>
  <c r="I164" i="6"/>
  <c r="P161" i="6"/>
  <c r="Q161" i="6" s="1"/>
  <c r="G163" i="6"/>
  <c r="P160" i="6"/>
  <c r="Q160" i="6" s="1"/>
  <c r="M162" i="6"/>
  <c r="L162" i="6"/>
  <c r="AD162" i="6"/>
  <c r="M125" i="6"/>
  <c r="L125" i="6"/>
  <c r="AD125" i="6" s="1"/>
  <c r="N124" i="6"/>
  <c r="O124" i="6" s="1"/>
  <c r="AA125" i="6"/>
  <c r="P124" i="6"/>
  <c r="Q124" i="6" s="1"/>
  <c r="G126" i="6"/>
  <c r="R126" i="6"/>
  <c r="AC126" i="6"/>
  <c r="AB126" i="6"/>
  <c r="I127" i="6"/>
  <c r="E127" i="6"/>
  <c r="F127" i="6" s="1"/>
  <c r="C127" i="6"/>
  <c r="B128" i="6"/>
  <c r="G85" i="6"/>
  <c r="AC85" i="6"/>
  <c r="AB85" i="6"/>
  <c r="R85" i="6"/>
  <c r="P83" i="6"/>
  <c r="Q83" i="6" s="1"/>
  <c r="M84" i="6"/>
  <c r="L84" i="6"/>
  <c r="AD84" i="6"/>
  <c r="E86" i="6"/>
  <c r="F86" i="6" s="1"/>
  <c r="C86" i="6"/>
  <c r="B87" i="6"/>
  <c r="I86" i="6"/>
  <c r="AA84" i="6"/>
  <c r="P82" i="6"/>
  <c r="Q82" i="6" s="1"/>
  <c r="N82" i="6"/>
  <c r="O82" i="6" s="1"/>
  <c r="K45" i="6"/>
  <c r="AA45" i="6"/>
  <c r="AC46" i="6"/>
  <c r="AB46" i="6"/>
  <c r="R46" i="6"/>
  <c r="P43" i="6"/>
  <c r="Q43" i="6" s="1"/>
  <c r="M45" i="6"/>
  <c r="P44" i="6" s="1"/>
  <c r="Q44" i="6" s="1"/>
  <c r="L45" i="6"/>
  <c r="AD45" i="6"/>
  <c r="N43" i="6"/>
  <c r="O43" i="6" s="1"/>
  <c r="G46" i="6"/>
  <c r="E47" i="6"/>
  <c r="F47" i="6" s="1"/>
  <c r="C47" i="6"/>
  <c r="B48" i="6"/>
  <c r="I47" i="6"/>
  <c r="I992" i="3"/>
  <c r="I542" i="3"/>
  <c r="I964" i="3"/>
  <c r="I2" i="3"/>
  <c r="I365" i="3"/>
  <c r="I306" i="3"/>
  <c r="I304" i="3"/>
  <c r="I570" i="3"/>
  <c r="I729" i="3"/>
  <c r="I128" i="3"/>
  <c r="I897" i="3"/>
  <c r="I866" i="3"/>
  <c r="I113" i="3"/>
  <c r="I710" i="3"/>
  <c r="I751" i="3"/>
  <c r="I732" i="3"/>
  <c r="I540" i="3"/>
  <c r="I626" i="3"/>
  <c r="I163" i="3"/>
  <c r="I583" i="3"/>
  <c r="I332" i="3"/>
  <c r="I746" i="3"/>
  <c r="I687" i="3"/>
  <c r="I414" i="3"/>
  <c r="I701" i="3"/>
  <c r="I523" i="3"/>
  <c r="I533" i="3"/>
  <c r="I421" i="3"/>
  <c r="I510" i="3"/>
  <c r="I803" i="3"/>
  <c r="I266" i="3"/>
  <c r="I280" i="3"/>
  <c r="I434" i="3"/>
  <c r="I263" i="3"/>
  <c r="I291" i="3"/>
  <c r="I238" i="3"/>
  <c r="I74" i="3"/>
  <c r="I609" i="3"/>
  <c r="I606" i="3"/>
  <c r="I867" i="3"/>
  <c r="I815" i="3"/>
  <c r="I654" i="3"/>
  <c r="I89" i="3"/>
  <c r="I98" i="3"/>
  <c r="I259" i="3"/>
  <c r="I589" i="3"/>
  <c r="I967" i="3"/>
  <c r="I502" i="3"/>
  <c r="I226" i="3"/>
  <c r="I410" i="3"/>
  <c r="I922" i="3"/>
  <c r="I680" i="3"/>
  <c r="I166" i="3"/>
  <c r="I303" i="3"/>
  <c r="I337" i="3"/>
  <c r="I174" i="3"/>
  <c r="I775" i="3"/>
  <c r="I255" i="3"/>
  <c r="I460" i="3"/>
  <c r="I286" i="3"/>
  <c r="I947" i="3"/>
  <c r="I61" i="3"/>
  <c r="I750" i="3"/>
  <c r="I834" i="3"/>
  <c r="I326" i="3"/>
  <c r="I401" i="3"/>
  <c r="I594" i="3"/>
  <c r="I132" i="3"/>
  <c r="I697" i="3"/>
  <c r="I577" i="3"/>
  <c r="I363" i="3"/>
  <c r="I210" i="3"/>
  <c r="I451" i="3"/>
  <c r="I209" i="3"/>
  <c r="I1002" i="3"/>
  <c r="I328" i="3"/>
  <c r="I105" i="3"/>
  <c r="I800" i="3"/>
  <c r="I961" i="3"/>
  <c r="I203" i="3"/>
  <c r="I886" i="3"/>
  <c r="I172" i="3"/>
  <c r="I407" i="3"/>
  <c r="I681" i="3"/>
  <c r="I665" i="3"/>
  <c r="I798" i="3"/>
  <c r="I347" i="3"/>
  <c r="I975" i="3"/>
  <c r="I183" i="3"/>
  <c r="I790" i="3"/>
  <c r="I327" i="3"/>
  <c r="I251" i="3"/>
  <c r="I881" i="3"/>
  <c r="I465" i="3"/>
  <c r="I786" i="3"/>
  <c r="I293" i="3"/>
  <c r="I924" i="3"/>
  <c r="I709" i="3"/>
  <c r="I59" i="3"/>
  <c r="I977" i="3"/>
  <c r="I315" i="3"/>
  <c r="I141" i="3"/>
  <c r="I483" i="3"/>
  <c r="I646" i="3"/>
  <c r="I693" i="3"/>
  <c r="I181" i="3"/>
  <c r="I755" i="3"/>
  <c r="I802" i="3"/>
  <c r="I674" i="3"/>
  <c r="I36" i="3"/>
  <c r="I273" i="3"/>
  <c r="I799" i="3"/>
  <c r="I541" i="3"/>
  <c r="I872" i="3"/>
  <c r="I372" i="3"/>
  <c r="I651" i="3"/>
  <c r="I345" i="3"/>
  <c r="I1003" i="3"/>
  <c r="I911" i="3"/>
  <c r="I581" i="3"/>
  <c r="I838" i="3"/>
  <c r="I428" i="3"/>
  <c r="I527" i="3"/>
  <c r="I25" i="3"/>
  <c r="I252" i="3"/>
  <c r="I41" i="3"/>
  <c r="I859" i="3"/>
  <c r="I385" i="3"/>
  <c r="I778" i="3"/>
  <c r="I624" i="3"/>
  <c r="I684" i="3"/>
  <c r="I42" i="3"/>
  <c r="I842" i="3"/>
  <c r="I188" i="3"/>
  <c r="I402" i="3"/>
  <c r="I169" i="3"/>
  <c r="I94" i="3"/>
  <c r="I571" i="3"/>
  <c r="I579" i="3"/>
  <c r="I823" i="3"/>
  <c r="I976" i="3"/>
  <c r="I793" i="3"/>
  <c r="I386" i="3"/>
  <c r="I643" i="3"/>
  <c r="I318" i="3"/>
  <c r="I559" i="3"/>
  <c r="I600" i="3"/>
  <c r="I653" i="3"/>
  <c r="I110" i="3"/>
  <c r="I706" i="3"/>
  <c r="I171" i="3"/>
  <c r="I49" i="3"/>
  <c r="I34" i="3"/>
  <c r="I1004" i="3"/>
  <c r="I740" i="3"/>
  <c r="I985" i="3"/>
  <c r="I791" i="3"/>
  <c r="I837" i="3"/>
  <c r="I442" i="3"/>
  <c r="I875" i="3"/>
  <c r="I298" i="3"/>
  <c r="I101" i="3"/>
  <c r="I459" i="3"/>
  <c r="I53" i="3"/>
  <c r="I615" i="3"/>
  <c r="I548" i="3"/>
  <c r="I813" i="3"/>
  <c r="I269" i="3"/>
  <c r="I930" i="3"/>
  <c r="I485" i="3"/>
  <c r="I180" i="3"/>
  <c r="I317" i="3"/>
  <c r="I854" i="3"/>
  <c r="I422" i="3"/>
  <c r="I935" i="3"/>
  <c r="I638" i="3"/>
  <c r="I300" i="3"/>
  <c r="I628" i="3"/>
  <c r="I236" i="3"/>
  <c r="I66" i="3"/>
  <c r="I156" i="3"/>
  <c r="I698" i="3"/>
  <c r="I452" i="3"/>
  <c r="I534" i="3"/>
  <c r="I431" i="3"/>
  <c r="I473" i="3"/>
  <c r="I137" i="3"/>
  <c r="I164" i="3"/>
  <c r="I316" i="3"/>
  <c r="I863" i="3"/>
  <c r="I198" i="3"/>
  <c r="I598" i="3"/>
  <c r="I544" i="3"/>
  <c r="I901" i="3"/>
  <c r="I311" i="3"/>
  <c r="I297" i="3"/>
  <c r="I207" i="3"/>
  <c r="I111" i="3"/>
  <c r="I150" i="3"/>
  <c r="I285" i="3"/>
  <c r="I603" i="3"/>
  <c r="I557" i="3"/>
  <c r="I496" i="3"/>
  <c r="I319" i="3"/>
  <c r="I521" i="3"/>
  <c r="I536" i="3"/>
  <c r="I130" i="3"/>
  <c r="I768" i="3"/>
  <c r="I907" i="3"/>
  <c r="I227" i="3"/>
  <c r="I996" i="3"/>
  <c r="I826" i="3"/>
  <c r="I905" i="3"/>
  <c r="I288" i="3"/>
  <c r="I10" i="3"/>
  <c r="I971" i="3"/>
  <c r="I585" i="3"/>
  <c r="I480" i="3"/>
  <c r="I218" i="3"/>
  <c r="I722" i="3"/>
  <c r="I261" i="3"/>
  <c r="I144" i="3"/>
  <c r="I892" i="3"/>
  <c r="I597" i="3"/>
  <c r="I941" i="3"/>
  <c r="I200" i="3"/>
  <c r="I440" i="3"/>
  <c r="I896" i="3"/>
  <c r="I479" i="3"/>
  <c r="I458" i="3"/>
  <c r="I868" i="3"/>
  <c r="I55" i="3"/>
  <c r="I418" i="3"/>
  <c r="I871" i="3"/>
  <c r="I461" i="3"/>
  <c r="I556" i="3"/>
  <c r="I963" i="3"/>
  <c r="I612" i="3"/>
  <c r="I678" i="3"/>
  <c r="I650" i="3"/>
  <c r="I78" i="3"/>
  <c r="I673" i="3"/>
  <c r="I602" i="3"/>
  <c r="I212" i="3"/>
  <c r="I818" i="3"/>
  <c r="I695" i="3"/>
  <c r="I477" i="3"/>
  <c r="I23" i="3"/>
  <c r="I368" i="3"/>
  <c r="I313" i="3"/>
  <c r="I244" i="3"/>
  <c r="I966" i="3"/>
  <c r="I54" i="3"/>
  <c r="I160" i="3"/>
  <c r="I946" i="3"/>
  <c r="I404" i="3"/>
  <c r="I193" i="3"/>
  <c r="I444" i="3"/>
  <c r="I367" i="3"/>
  <c r="I32" i="3"/>
  <c r="I610" i="3"/>
  <c r="I118" i="3"/>
  <c r="I366" i="3"/>
  <c r="I501" i="3"/>
  <c r="I84" i="3"/>
  <c r="I694" i="3"/>
  <c r="I309" i="3"/>
  <c r="I93" i="3"/>
  <c r="I550" i="3"/>
  <c r="I175" i="3"/>
  <c r="I435" i="3"/>
  <c r="I973" i="3"/>
  <c r="I140" i="3"/>
  <c r="I290" i="3"/>
  <c r="I806" i="3"/>
  <c r="I202" i="3"/>
  <c r="I450" i="3"/>
  <c r="I221" i="3"/>
  <c r="I432" i="3"/>
  <c r="I549" i="3"/>
  <c r="I349" i="3"/>
  <c r="I495" i="3"/>
  <c r="I213" i="3"/>
  <c r="I909" i="3"/>
  <c r="I63" i="3"/>
  <c r="I910" i="3"/>
  <c r="I173" i="3"/>
  <c r="I205" i="3"/>
  <c r="I989" i="3"/>
  <c r="I17" i="3"/>
  <c r="I831" i="3"/>
  <c r="I739" i="3"/>
  <c r="I182" i="3"/>
  <c r="I489" i="3"/>
  <c r="I249" i="3"/>
  <c r="I960" i="3"/>
  <c r="I334" i="3"/>
  <c r="I685" i="3"/>
  <c r="I38" i="3"/>
  <c r="I636" i="3"/>
  <c r="I324" i="3"/>
  <c r="I761" i="3"/>
  <c r="I505" i="3"/>
  <c r="I455" i="3"/>
  <c r="I748" i="3"/>
  <c r="I659" i="3"/>
  <c r="I231" i="3"/>
  <c r="I652" i="3"/>
  <c r="I593" i="3"/>
  <c r="I916" i="3"/>
  <c r="I484" i="3"/>
  <c r="I747" i="3"/>
  <c r="I88" i="3"/>
  <c r="I1000" i="3"/>
  <c r="I139" i="3"/>
  <c r="I660" i="3"/>
  <c r="I292" i="3"/>
  <c r="I529" i="3"/>
  <c r="I810" i="3"/>
  <c r="I31" i="3"/>
  <c r="I176" i="3"/>
  <c r="I720" i="3"/>
  <c r="I645" i="3"/>
  <c r="I908" i="3"/>
  <c r="I409" i="3"/>
  <c r="I190" i="3"/>
  <c r="I399" i="3"/>
  <c r="I558" i="3"/>
  <c r="I822" i="3"/>
  <c r="I627" i="3"/>
  <c r="I197" i="3"/>
  <c r="I157" i="3"/>
  <c r="I426" i="3"/>
  <c r="I877" i="3"/>
  <c r="I389" i="3"/>
  <c r="I60" i="3"/>
  <c r="I405" i="3"/>
  <c r="I955" i="3"/>
  <c r="I949" i="3"/>
  <c r="I640" i="3"/>
  <c r="I900" i="3"/>
  <c r="I632" i="3"/>
  <c r="I547" i="3"/>
  <c r="I850" i="3"/>
  <c r="I943" i="3"/>
  <c r="I931" i="3"/>
  <c r="I340" i="3"/>
  <c r="I573" i="3"/>
  <c r="I284" i="3"/>
  <c r="I882" i="3"/>
  <c r="I21" i="3"/>
  <c r="I179" i="3"/>
  <c r="I827" i="3"/>
  <c r="I467" i="3"/>
  <c r="I441" i="3"/>
  <c r="I894" i="3"/>
  <c r="I354" i="3"/>
  <c r="I903" i="3"/>
  <c r="I106" i="3"/>
  <c r="I470" i="3"/>
  <c r="I666" i="3"/>
  <c r="I741" i="3"/>
  <c r="I506" i="3"/>
  <c r="I563" i="3"/>
  <c r="I686" i="3"/>
  <c r="I663" i="3"/>
  <c r="I222" i="3"/>
  <c r="I75" i="3"/>
  <c r="I874" i="3"/>
  <c r="I641" i="3"/>
  <c r="I83" i="3"/>
  <c r="I781" i="3"/>
  <c r="I637" i="3"/>
  <c r="I982" i="3"/>
  <c r="I974" i="3"/>
  <c r="I840" i="3"/>
  <c r="I39" i="3"/>
  <c r="I497" i="3"/>
  <c r="I321" i="3"/>
  <c r="I569" i="3"/>
  <c r="I629" i="3"/>
  <c r="I120" i="3"/>
  <c r="I395" i="3"/>
  <c r="I73" i="3"/>
  <c r="I70" i="3"/>
  <c r="I929" i="3"/>
  <c r="I307" i="3"/>
  <c r="I186" i="3"/>
  <c r="I37" i="3"/>
  <c r="I462" i="3"/>
  <c r="I957" i="3"/>
  <c r="I398" i="3"/>
  <c r="I767" i="3"/>
  <c r="I512" i="3"/>
  <c r="I356" i="3"/>
  <c r="I68" i="3"/>
  <c r="I565" i="3"/>
  <c r="I379" i="3"/>
  <c r="I433" i="3"/>
  <c r="I67" i="3"/>
  <c r="I16" i="3"/>
  <c r="I234" i="3"/>
  <c r="I914" i="3"/>
  <c r="I713" i="3"/>
  <c r="I24" i="3"/>
  <c r="I752" i="3"/>
  <c r="I994" i="3"/>
  <c r="I364" i="3"/>
  <c r="I718" i="3"/>
  <c r="I664" i="3"/>
  <c r="I449" i="3"/>
  <c r="I258" i="3"/>
  <c r="I149" i="3"/>
  <c r="I792" i="3"/>
  <c r="I96" i="3"/>
  <c r="I572" i="3"/>
  <c r="I561" i="3"/>
  <c r="I848" i="3"/>
  <c r="I699" i="3"/>
  <c r="I562" i="3"/>
  <c r="I801" i="3"/>
  <c r="I43" i="3"/>
  <c r="I765" i="3"/>
  <c r="I811" i="3"/>
  <c r="I126" i="3"/>
  <c r="I377" i="3"/>
  <c r="I325" i="3"/>
  <c r="I463" i="3"/>
  <c r="I969" i="3"/>
  <c r="I185" i="3"/>
  <c r="I382" i="3"/>
  <c r="I453" i="3"/>
  <c r="I189" i="3"/>
  <c r="I224" i="3"/>
  <c r="I474" i="3"/>
  <c r="I676" i="3"/>
  <c r="I730" i="3"/>
  <c r="I108" i="3"/>
  <c r="I760" i="3"/>
  <c r="I344" i="3"/>
  <c r="I201" i="3"/>
  <c r="I776" i="3"/>
  <c r="I155" i="3"/>
  <c r="I323" i="3"/>
  <c r="I824" i="3"/>
  <c r="I472" i="3"/>
  <c r="I22" i="3"/>
  <c r="I780" i="3"/>
  <c r="I476" i="3"/>
  <c r="I7" i="3"/>
  <c r="I511" i="3"/>
  <c r="I5" i="3"/>
  <c r="I509" i="3"/>
  <c r="I3" i="3"/>
  <c r="I605" i="3"/>
  <c r="I498" i="3"/>
  <c r="I19" i="3"/>
  <c r="I953" i="3"/>
  <c r="I757" i="3"/>
  <c r="I769" i="3"/>
  <c r="I614" i="3"/>
  <c r="I688" i="3"/>
  <c r="I772" i="3"/>
  <c r="I708" i="3"/>
  <c r="I50" i="3"/>
  <c r="I295" i="3"/>
  <c r="I9" i="3"/>
  <c r="I812" i="3"/>
  <c r="I814" i="3"/>
  <c r="I915" i="3"/>
  <c r="I794" i="3"/>
  <c r="I771" i="3"/>
  <c r="I675" i="3"/>
  <c r="I839" i="3"/>
  <c r="I320" i="3"/>
  <c r="I566" i="3"/>
  <c r="I951" i="3"/>
  <c r="I250" i="3"/>
  <c r="I359" i="3"/>
  <c r="I4" i="3"/>
  <c r="I439" i="3"/>
  <c r="I825" i="3"/>
  <c r="I392" i="3"/>
  <c r="I733" i="3"/>
  <c r="I661" i="3"/>
  <c r="I679" i="3"/>
  <c r="I852" i="3"/>
  <c r="I296" i="3"/>
  <c r="I855" i="3"/>
  <c r="I959" i="3"/>
  <c r="I112" i="3"/>
  <c r="I546" i="3"/>
  <c r="I735" i="3"/>
  <c r="I993" i="3"/>
  <c r="I56" i="3"/>
  <c r="I860" i="3"/>
  <c r="I208" i="3"/>
  <c r="I578" i="3"/>
  <c r="I91" i="3"/>
  <c r="I749" i="3"/>
  <c r="I658" i="3"/>
  <c r="I469" i="3"/>
  <c r="I655" i="3"/>
  <c r="I717" i="3"/>
  <c r="I515" i="3"/>
  <c r="I795" i="3"/>
  <c r="I703" i="3"/>
  <c r="I504" i="3"/>
  <c r="I358" i="3"/>
  <c r="I933" i="3"/>
  <c r="I369" i="3"/>
  <c r="I338" i="3"/>
  <c r="I862" i="3"/>
  <c r="I715" i="3"/>
  <c r="I844" i="3"/>
  <c r="I883" i="3"/>
  <c r="I69" i="3"/>
  <c r="I836" i="3"/>
  <c r="I260" i="3"/>
  <c r="I724" i="3"/>
  <c r="I72" i="3"/>
  <c r="I26" i="3"/>
  <c r="I312" i="3"/>
  <c r="I76" i="3"/>
  <c r="I123" i="3"/>
  <c r="I545" i="3"/>
  <c r="I341" i="3"/>
  <c r="I829" i="3"/>
  <c r="I503" i="3"/>
  <c r="I152" i="3"/>
  <c r="I146" i="3"/>
  <c r="I335" i="3"/>
  <c r="I192" i="3"/>
  <c r="I999" i="3"/>
  <c r="I446" i="3"/>
  <c r="I270" i="3"/>
  <c r="I926" i="3"/>
  <c r="I568" i="3"/>
  <c r="I744" i="3"/>
  <c r="I843" i="3"/>
  <c r="I124" i="3"/>
  <c r="I466" i="3"/>
  <c r="I237" i="3"/>
  <c r="I861" i="3"/>
  <c r="I351" i="3"/>
  <c r="I11" i="3"/>
  <c r="I981" i="3"/>
  <c r="I360" i="3"/>
  <c r="I500" i="3"/>
  <c r="I6" i="3"/>
  <c r="I217" i="3"/>
  <c r="I567" i="3"/>
  <c r="I857" i="3"/>
  <c r="I52" i="3"/>
  <c r="I456" i="3"/>
  <c r="I122" i="3"/>
  <c r="I430" i="3"/>
  <c r="I925" i="3"/>
  <c r="I406" i="3"/>
  <c r="I134" i="3"/>
  <c r="I490" i="3"/>
  <c r="I754" i="3"/>
  <c r="I580" i="3"/>
  <c r="I20" i="3"/>
  <c r="I142" i="3"/>
  <c r="I630" i="3"/>
  <c r="I85" i="3"/>
  <c r="I416" i="3"/>
  <c r="I833" i="3"/>
  <c r="I481" i="3"/>
  <c r="I920" i="3"/>
  <c r="I357" i="3"/>
  <c r="I889" i="3"/>
  <c r="I647" i="3"/>
  <c r="I525" i="3"/>
  <c r="I145" i="3"/>
  <c r="I275" i="3"/>
  <c r="I702" i="3"/>
  <c r="I849" i="3"/>
  <c r="I690" i="3"/>
  <c r="I770" i="3"/>
  <c r="I233" i="3"/>
  <c r="I807" i="3"/>
  <c r="I240" i="3"/>
  <c r="I714" i="3"/>
  <c r="I988" i="3"/>
  <c r="I64" i="3"/>
  <c r="I216" i="3"/>
  <c r="I543" i="3"/>
  <c r="I378" i="3"/>
  <c r="I486" i="3"/>
  <c r="I940" i="3"/>
  <c r="I384" i="3"/>
  <c r="I633" i="3"/>
  <c r="I893" i="3"/>
  <c r="I586" i="3"/>
  <c r="I40" i="3"/>
  <c r="I243" i="3"/>
  <c r="I289" i="3"/>
  <c r="I932" i="3"/>
  <c r="I639" i="3"/>
  <c r="I796" i="3"/>
  <c r="I114" i="3"/>
  <c r="I493" i="3"/>
  <c r="I457" i="3"/>
  <c r="I766" i="3"/>
  <c r="I625" i="3"/>
  <c r="I719" i="3"/>
  <c r="I162" i="3"/>
  <c r="I301" i="3"/>
  <c r="I294" i="3"/>
  <c r="I1001" i="3"/>
  <c r="I487" i="3"/>
  <c r="I942" i="3"/>
  <c r="I599" i="3"/>
  <c r="I468" i="3"/>
  <c r="I308" i="3"/>
  <c r="I464" i="3"/>
  <c r="I716" i="3"/>
  <c r="I492" i="3"/>
  <c r="I33" i="3"/>
  <c r="I242" i="3"/>
  <c r="I417" i="3"/>
  <c r="I607" i="3"/>
  <c r="I927" i="3"/>
  <c r="I520" i="3"/>
  <c r="I92" i="3"/>
  <c r="I199" i="3"/>
  <c r="I390" i="3"/>
  <c r="I518" i="3"/>
  <c r="I891" i="3"/>
  <c r="I81" i="3"/>
  <c r="I206" i="3"/>
  <c r="I620" i="3"/>
  <c r="I342" i="3"/>
  <c r="I411" i="3"/>
  <c r="I339" i="3"/>
  <c r="I499" i="3"/>
  <c r="I29" i="3"/>
  <c r="I783" i="3"/>
  <c r="I797" i="3"/>
  <c r="I376" i="3"/>
  <c r="I219" i="3"/>
  <c r="I945" i="3"/>
  <c r="I884" i="3"/>
  <c r="I873" i="3"/>
  <c r="I168" i="3"/>
  <c r="I587" i="3"/>
  <c r="I107" i="3"/>
  <c r="I393" i="3"/>
  <c r="I743" i="3"/>
  <c r="I362" i="3"/>
  <c r="I375" i="3"/>
  <c r="I447" i="3"/>
  <c r="I425" i="3"/>
  <c r="I672" i="3"/>
  <c r="I471" i="3"/>
  <c r="I689" i="3"/>
  <c r="I742" i="3"/>
  <c r="I86" i="3"/>
  <c r="I143" i="3"/>
  <c r="I828" i="3"/>
  <c r="I51" i="3"/>
  <c r="I14" i="3"/>
  <c r="I962" i="3"/>
  <c r="I353" i="3"/>
  <c r="I184" i="3"/>
  <c r="I387" i="3"/>
  <c r="I890" i="3"/>
  <c r="I287" i="3"/>
  <c r="I756" i="3"/>
  <c r="I595" i="3"/>
  <c r="I211" i="3"/>
  <c r="I214" i="3"/>
  <c r="I436" i="3"/>
  <c r="I777" i="3"/>
  <c r="I876" i="3"/>
  <c r="I248" i="3"/>
  <c r="I131" i="3"/>
  <c r="I998" i="3"/>
  <c r="I649" i="3"/>
  <c r="I488" i="3"/>
  <c r="I135" i="3"/>
  <c r="I276" i="3"/>
  <c r="I82" i="3"/>
  <c r="I779" i="3"/>
  <c r="I635" i="3"/>
  <c r="I396" i="3"/>
  <c r="I507" i="3"/>
  <c r="I978" i="3"/>
  <c r="I57" i="3"/>
  <c r="I373" i="3"/>
  <c r="I299" i="3"/>
  <c r="I682" i="3"/>
  <c r="I343" i="3"/>
  <c r="I944" i="3"/>
  <c r="I856" i="3"/>
  <c r="I970" i="3"/>
  <c r="I819" i="3"/>
  <c r="I283" i="3"/>
  <c r="I348" i="3"/>
  <c r="I517" i="3"/>
  <c r="I898" i="3"/>
  <c r="I95" i="3"/>
  <c r="I437" i="3"/>
  <c r="I235" i="3"/>
  <c r="I80" i="3"/>
  <c r="I336" i="3"/>
  <c r="I58" i="3"/>
  <c r="I438" i="3"/>
  <c r="I165" i="3"/>
  <c r="I731" i="3"/>
  <c r="I958" i="3"/>
  <c r="I177" i="3"/>
  <c r="I590" i="3"/>
  <c r="I513" i="3"/>
  <c r="I736" i="3"/>
  <c r="I759" i="3"/>
  <c r="I314" i="3"/>
  <c r="I230" i="3"/>
  <c r="I526" i="3"/>
  <c r="I667" i="3"/>
  <c r="I215" i="3"/>
  <c r="I789" i="3"/>
  <c r="I657" i="3"/>
  <c r="I809" i="3"/>
  <c r="I912" i="3"/>
  <c r="I864" i="3"/>
  <c r="I623" i="3"/>
  <c r="I721" i="3"/>
  <c r="I322" i="3"/>
  <c r="I127" i="3"/>
  <c r="I564" i="3"/>
  <c r="I972" i="3"/>
  <c r="I159" i="3"/>
  <c r="I575" i="3"/>
  <c r="I333" i="3"/>
  <c r="I355" i="3"/>
  <c r="I99" i="3"/>
  <c r="I853" i="3"/>
  <c r="I711" i="3"/>
  <c r="I530" i="3"/>
  <c r="I537" i="3"/>
  <c r="I784" i="3"/>
  <c r="I352" i="3"/>
  <c r="I773" i="3"/>
  <c r="I262" i="3"/>
  <c r="I27" i="3"/>
  <c r="I403" i="3"/>
  <c r="I12" i="3"/>
  <c r="I97" i="3"/>
  <c r="I774" i="3"/>
  <c r="I986" i="3"/>
  <c r="I532" i="3"/>
  <c r="I554" i="3"/>
  <c r="I712" i="3"/>
  <c r="I622" i="3"/>
  <c r="I968" i="3"/>
  <c r="I116" i="3"/>
  <c r="I71" i="3"/>
  <c r="I388" i="3"/>
  <c r="I880" i="3"/>
  <c r="I696" i="3"/>
  <c r="I584" i="3"/>
  <c r="I788" i="3"/>
  <c r="I30" i="3"/>
  <c r="I617" i="3"/>
  <c r="I919" i="3"/>
  <c r="I936" i="3"/>
  <c r="I869" i="3"/>
  <c r="I125" i="3"/>
  <c r="I921" i="3"/>
  <c r="I656" i="3"/>
  <c r="I109" i="3"/>
  <c r="I245" i="3"/>
  <c r="I494" i="3"/>
  <c r="I161" i="3"/>
  <c r="I158" i="3"/>
  <c r="I980" i="3"/>
  <c r="I267" i="3"/>
  <c r="I762" i="3"/>
  <c r="I560" i="3"/>
  <c r="I129" i="3"/>
  <c r="I727" i="3"/>
  <c r="I611" i="3"/>
  <c r="I816" i="3"/>
  <c r="I928" i="3"/>
  <c r="I991" i="3"/>
  <c r="I381" i="3"/>
  <c r="I380" i="3"/>
  <c r="I723" i="3"/>
  <c r="I282" i="3"/>
  <c r="I895" i="3"/>
  <c r="I482" i="3"/>
  <c r="I305" i="3"/>
  <c r="I621" i="3"/>
  <c r="I115" i="3"/>
  <c r="I938" i="3"/>
  <c r="I195" i="3"/>
  <c r="I965" i="3"/>
  <c r="I618" i="3"/>
  <c r="I516" i="3"/>
  <c r="I728" i="3"/>
  <c r="I420" i="3"/>
  <c r="I758" i="3"/>
  <c r="I704" i="3"/>
  <c r="I979" i="3"/>
  <c r="I44" i="3"/>
  <c r="I737" i="3"/>
  <c r="I634" i="3"/>
  <c r="I902" i="3"/>
  <c r="I726" i="3"/>
  <c r="I277" i="3"/>
  <c r="I148" i="3"/>
  <c r="I845" i="3"/>
  <c r="I350" i="3"/>
  <c r="I45" i="3"/>
  <c r="I278" i="3"/>
  <c r="I62" i="3"/>
  <c r="I102" i="3"/>
  <c r="I847" i="3"/>
  <c r="I683" i="3"/>
  <c r="I281" i="3"/>
  <c r="I870" i="3"/>
  <c r="I279" i="3"/>
  <c r="I644" i="3"/>
  <c r="I670" i="3"/>
  <c r="I524" i="3"/>
  <c r="I832" i="3"/>
  <c r="I18" i="3"/>
  <c r="I804" i="3"/>
  <c r="I888" i="3"/>
  <c r="I642" i="3"/>
  <c r="I331" i="3"/>
  <c r="I917" i="3"/>
  <c r="I268" i="3"/>
  <c r="I588" i="3"/>
  <c r="I374" i="3"/>
  <c r="I934" i="3"/>
  <c r="I631" i="3"/>
  <c r="I117" i="3"/>
  <c r="I817" i="3"/>
  <c r="I954" i="3"/>
  <c r="I194" i="3"/>
  <c r="I648" i="3"/>
  <c r="I272" i="3"/>
  <c r="I191" i="3"/>
  <c r="I662" i="3"/>
  <c r="I35" i="3"/>
  <c r="I247" i="3"/>
  <c r="I87" i="3"/>
  <c r="I103" i="3"/>
  <c r="I707" i="3"/>
  <c r="I937" i="3"/>
  <c r="I576" i="3"/>
  <c r="I271" i="3"/>
  <c r="I691" i="3"/>
  <c r="I671" i="3"/>
  <c r="I846" i="3"/>
  <c r="I899" i="3"/>
  <c r="I220" i="3"/>
  <c r="I79" i="3"/>
  <c r="I397" i="3"/>
  <c r="I241" i="3"/>
  <c r="I28" i="3"/>
  <c r="I429" i="3"/>
  <c r="I383" i="3"/>
  <c r="I785" i="3"/>
  <c r="I835" i="3"/>
  <c r="I821" i="3"/>
  <c r="I551" i="3"/>
  <c r="I427" i="3"/>
  <c r="I787" i="3"/>
  <c r="I616" i="3"/>
  <c r="I136" i="3"/>
  <c r="I371" i="3"/>
  <c r="I394" i="3"/>
  <c r="I990" i="3"/>
  <c r="I851" i="3"/>
  <c r="I310" i="3"/>
  <c r="I187" i="3"/>
  <c r="I419" i="3"/>
  <c r="I443" i="3"/>
  <c r="I858" i="3"/>
  <c r="I178" i="3"/>
  <c r="I734" i="3"/>
  <c r="I8" i="3"/>
  <c r="I952" i="3"/>
  <c r="I264" i="3"/>
  <c r="I154" i="3"/>
  <c r="I475" i="3"/>
  <c r="I253" i="3"/>
  <c r="I879" i="3"/>
  <c r="I574" i="3"/>
  <c r="I764" i="3"/>
  <c r="I841" i="3"/>
  <c r="I820" i="3"/>
  <c r="I153" i="3"/>
  <c r="I196" i="3"/>
  <c r="I830" i="3"/>
  <c r="I582" i="3"/>
  <c r="I170" i="3"/>
  <c r="I361" i="3"/>
  <c r="I668" i="3"/>
  <c r="I46" i="3"/>
  <c r="I232" i="3"/>
  <c r="I254" i="3"/>
  <c r="I808" i="3"/>
  <c r="I151" i="3"/>
  <c r="I950" i="3"/>
  <c r="I47" i="3"/>
  <c r="I223" i="3"/>
  <c r="I274" i="3"/>
  <c r="I329" i="3"/>
  <c r="I677" i="3"/>
  <c r="I491" i="3"/>
  <c r="I555" i="3"/>
  <c r="I346" i="3"/>
  <c r="I15" i="3"/>
  <c r="I592" i="3"/>
  <c r="I956" i="3"/>
  <c r="I412" i="3"/>
  <c r="I522" i="3"/>
  <c r="I553" i="3"/>
  <c r="I904" i="3"/>
  <c r="I302" i="3"/>
  <c r="I692" i="3"/>
  <c r="I885" i="3"/>
  <c r="I913" i="3"/>
  <c r="I984" i="3"/>
  <c r="I229" i="3"/>
  <c r="I753" i="3"/>
  <c r="I77" i="3"/>
  <c r="I552" i="3"/>
  <c r="I608" i="3"/>
  <c r="I995" i="3"/>
  <c r="I508" i="3"/>
  <c r="I167" i="3"/>
  <c r="I424" i="3"/>
  <c r="I738" i="3"/>
  <c r="I725" i="3"/>
  <c r="I700" i="3"/>
  <c r="I228" i="3"/>
  <c r="I528" i="3"/>
  <c r="I90" i="3"/>
  <c r="I805" i="3"/>
  <c r="I204" i="3"/>
  <c r="I745" i="3"/>
  <c r="I591" i="3"/>
  <c r="I918" i="3"/>
  <c r="I104" i="3"/>
  <c r="I906" i="3"/>
  <c r="I147" i="3"/>
  <c r="I65" i="3"/>
  <c r="I448" i="3"/>
  <c r="I763" i="3"/>
  <c r="I246" i="3"/>
  <c r="I13" i="3"/>
  <c r="I987" i="3"/>
  <c r="I257" i="3"/>
  <c r="I330" i="3"/>
  <c r="I138" i="3"/>
  <c r="I225" i="3"/>
  <c r="I256" i="3"/>
  <c r="I619" i="3"/>
  <c r="I604" i="3"/>
  <c r="I887" i="3"/>
  <c r="I454" i="3"/>
  <c r="I413" i="3"/>
  <c r="I391" i="3"/>
  <c r="I239" i="3"/>
  <c r="I878" i="3"/>
  <c r="I423" i="3"/>
  <c r="I519" i="3"/>
  <c r="I133" i="3"/>
  <c r="I119" i="3"/>
  <c r="I539" i="3"/>
  <c r="I983" i="3"/>
  <c r="I596" i="3"/>
  <c r="I400" i="3"/>
  <c r="I613" i="3"/>
  <c r="I538" i="3"/>
  <c r="I121" i="3"/>
  <c r="I445" i="3"/>
  <c r="I997" i="3"/>
  <c r="I669" i="3"/>
  <c r="I782" i="3"/>
  <c r="I939" i="3"/>
  <c r="I531" i="3"/>
  <c r="I408" i="3"/>
  <c r="I705" i="3"/>
  <c r="I478" i="3"/>
  <c r="I415" i="3"/>
  <c r="I265" i="3"/>
  <c r="I948" i="3"/>
  <c r="I923" i="3"/>
  <c r="I601" i="3"/>
  <c r="I865" i="3"/>
  <c r="I48" i="3"/>
  <c r="I535" i="3"/>
  <c r="I370" i="3"/>
  <c r="I514" i="3"/>
  <c r="I100" i="3"/>
  <c r="C7" i="2"/>
  <c r="B8" i="2"/>
  <c r="M436" i="6" l="1"/>
  <c r="L436" i="6"/>
  <c r="AD436" i="6"/>
  <c r="AA436" i="6"/>
  <c r="B439" i="6"/>
  <c r="I438" i="6"/>
  <c r="E438" i="6"/>
  <c r="F438" i="6" s="1"/>
  <c r="C438" i="6"/>
  <c r="AB437" i="6"/>
  <c r="R437" i="6"/>
  <c r="AC437" i="6"/>
  <c r="H437" i="6"/>
  <c r="H436" i="6"/>
  <c r="K436" i="6"/>
  <c r="P434" i="6"/>
  <c r="Q434" i="6" s="1"/>
  <c r="N434" i="6"/>
  <c r="O434" i="6" s="1"/>
  <c r="AB398" i="6"/>
  <c r="R398" i="6"/>
  <c r="AC398" i="6"/>
  <c r="B400" i="6"/>
  <c r="I399" i="6"/>
  <c r="E399" i="6"/>
  <c r="F399" i="6" s="1"/>
  <c r="C399" i="6"/>
  <c r="G398" i="6"/>
  <c r="N396" i="6"/>
  <c r="O396" i="6" s="1"/>
  <c r="P396" i="6"/>
  <c r="Q396" i="6" s="1"/>
  <c r="P395" i="6"/>
  <c r="Q395" i="6" s="1"/>
  <c r="H397" i="6"/>
  <c r="K397" i="6"/>
  <c r="M397" i="6"/>
  <c r="AD397" i="6" s="1"/>
  <c r="L397" i="6"/>
  <c r="AA397" i="6"/>
  <c r="AB359" i="6"/>
  <c r="R359" i="6"/>
  <c r="AC359" i="6"/>
  <c r="B361" i="6"/>
  <c r="I360" i="6"/>
  <c r="E360" i="6"/>
  <c r="F360" i="6" s="1"/>
  <c r="C360" i="6"/>
  <c r="G359" i="6"/>
  <c r="M358" i="6"/>
  <c r="AD358" i="6" s="1"/>
  <c r="L358" i="6"/>
  <c r="AA358" i="6"/>
  <c r="P356" i="6"/>
  <c r="Q356" i="6" s="1"/>
  <c r="N356" i="6"/>
  <c r="O356" i="6" s="1"/>
  <c r="H358" i="6"/>
  <c r="K358" i="6"/>
  <c r="AA321" i="6"/>
  <c r="AC322" i="6"/>
  <c r="AB322" i="6"/>
  <c r="R322" i="6"/>
  <c r="M321" i="6"/>
  <c r="L321" i="6"/>
  <c r="AD321" i="6"/>
  <c r="H321" i="6"/>
  <c r="K321" i="6"/>
  <c r="N320" i="6"/>
  <c r="O320" i="6" s="1"/>
  <c r="P320" i="6"/>
  <c r="Q320" i="6" s="1"/>
  <c r="B324" i="6"/>
  <c r="I323" i="6"/>
  <c r="G323" i="6"/>
  <c r="K323" i="6" s="1"/>
  <c r="E323" i="6"/>
  <c r="F323" i="6" s="1"/>
  <c r="C323" i="6"/>
  <c r="P319" i="6"/>
  <c r="Q319" i="6" s="1"/>
  <c r="G322" i="6"/>
  <c r="M280" i="6"/>
  <c r="L280" i="6"/>
  <c r="AD280" i="6" s="1"/>
  <c r="AA280" i="6"/>
  <c r="N278" i="6"/>
  <c r="O278" i="6" s="1"/>
  <c r="P279" i="6"/>
  <c r="Q279" i="6" s="1"/>
  <c r="H280" i="6"/>
  <c r="K280" i="6"/>
  <c r="AB281" i="6"/>
  <c r="R281" i="6"/>
  <c r="AC281" i="6"/>
  <c r="K281" i="6"/>
  <c r="B283" i="6"/>
  <c r="I282" i="6"/>
  <c r="E282" i="6"/>
  <c r="F282" i="6" s="1"/>
  <c r="C282" i="6"/>
  <c r="H241" i="6"/>
  <c r="K241" i="6"/>
  <c r="AB242" i="6"/>
  <c r="R242" i="6"/>
  <c r="AC242" i="6"/>
  <c r="N239" i="6"/>
  <c r="O239" i="6" s="1"/>
  <c r="K242" i="6"/>
  <c r="B244" i="6"/>
  <c r="I243" i="6"/>
  <c r="E243" i="6"/>
  <c r="F243" i="6" s="1"/>
  <c r="C243" i="6"/>
  <c r="AA241" i="6"/>
  <c r="P239" i="6"/>
  <c r="Q239" i="6" s="1"/>
  <c r="M241" i="6"/>
  <c r="L241" i="6"/>
  <c r="N240" i="6" s="1"/>
  <c r="O240" i="6" s="1"/>
  <c r="AD241" i="6"/>
  <c r="M202" i="6"/>
  <c r="L202" i="6"/>
  <c r="AD202" i="6"/>
  <c r="AA202" i="6"/>
  <c r="AB203" i="6"/>
  <c r="R203" i="6"/>
  <c r="AC203" i="6"/>
  <c r="P200" i="6"/>
  <c r="Q200" i="6" s="1"/>
  <c r="B205" i="6"/>
  <c r="I204" i="6"/>
  <c r="E204" i="6"/>
  <c r="F204" i="6" s="1"/>
  <c r="C204" i="6"/>
  <c r="G203" i="6"/>
  <c r="H202" i="6"/>
  <c r="K202" i="6"/>
  <c r="AB164" i="6"/>
  <c r="R164" i="6"/>
  <c r="AC164" i="6"/>
  <c r="B166" i="6"/>
  <c r="I165" i="6"/>
  <c r="E165" i="6"/>
  <c r="F165" i="6" s="1"/>
  <c r="C165" i="6"/>
  <c r="G164" i="6"/>
  <c r="M163" i="6"/>
  <c r="L163" i="6"/>
  <c r="N162" i="6" s="1"/>
  <c r="O162" i="6" s="1"/>
  <c r="P162" i="6"/>
  <c r="Q162" i="6" s="1"/>
  <c r="AA163" i="6"/>
  <c r="N161" i="6"/>
  <c r="O161" i="6" s="1"/>
  <c r="H163" i="6"/>
  <c r="K163" i="6"/>
  <c r="AA126" i="6"/>
  <c r="M126" i="6"/>
  <c r="AD126" i="6" s="1"/>
  <c r="L126" i="6"/>
  <c r="H126" i="6"/>
  <c r="K126" i="6"/>
  <c r="B129" i="6"/>
  <c r="I128" i="6"/>
  <c r="E128" i="6"/>
  <c r="F128" i="6" s="1"/>
  <c r="C128" i="6"/>
  <c r="G127" i="6"/>
  <c r="N125" i="6"/>
  <c r="O125" i="6" s="1"/>
  <c r="AC127" i="6"/>
  <c r="AB127" i="6"/>
  <c r="R127" i="6"/>
  <c r="B88" i="6"/>
  <c r="I87" i="6"/>
  <c r="E87" i="6"/>
  <c r="F87" i="6" s="1"/>
  <c r="C87" i="6"/>
  <c r="G86" i="6"/>
  <c r="M85" i="6"/>
  <c r="P84" i="6" s="1"/>
  <c r="Q84" i="6" s="1"/>
  <c r="L85" i="6"/>
  <c r="AD85" i="6"/>
  <c r="AA85" i="6"/>
  <c r="H85" i="6"/>
  <c r="K85" i="6"/>
  <c r="N83" i="6"/>
  <c r="O83" i="6" s="1"/>
  <c r="AB86" i="6"/>
  <c r="R86" i="6"/>
  <c r="AC86" i="6"/>
  <c r="G47" i="6"/>
  <c r="K47" i="6" s="1"/>
  <c r="AB47" i="6"/>
  <c r="R47" i="6"/>
  <c r="AC47" i="6"/>
  <c r="M46" i="6"/>
  <c r="AD46" i="6" s="1"/>
  <c r="L46" i="6"/>
  <c r="N45" i="6" s="1"/>
  <c r="O45" i="6" s="1"/>
  <c r="AA46" i="6"/>
  <c r="B49" i="6"/>
  <c r="I48" i="6"/>
  <c r="E48" i="6"/>
  <c r="F48" i="6" s="1"/>
  <c r="C48" i="6"/>
  <c r="H47" i="6"/>
  <c r="H46" i="6"/>
  <c r="K46" i="6"/>
  <c r="N44" i="6"/>
  <c r="O44" i="6" s="1"/>
  <c r="P45" i="6"/>
  <c r="Q45" i="6" s="1"/>
  <c r="B9" i="2"/>
  <c r="C8" i="2"/>
  <c r="R438" i="6" l="1"/>
  <c r="AC438" i="6"/>
  <c r="AB438" i="6"/>
  <c r="I439" i="6"/>
  <c r="E439" i="6"/>
  <c r="F439" i="6" s="1"/>
  <c r="C439" i="6"/>
  <c r="B440" i="6"/>
  <c r="N436" i="6"/>
  <c r="O436" i="6" s="1"/>
  <c r="P436" i="6"/>
  <c r="Q436" i="6" s="1"/>
  <c r="N435" i="6"/>
  <c r="O435" i="6" s="1"/>
  <c r="G438" i="6"/>
  <c r="M437" i="6"/>
  <c r="AD437" i="6" s="1"/>
  <c r="L437" i="6"/>
  <c r="P435" i="6"/>
  <c r="Q435" i="6" s="1"/>
  <c r="AA437" i="6"/>
  <c r="R399" i="6"/>
  <c r="AC399" i="6"/>
  <c r="AB399" i="6"/>
  <c r="H398" i="6"/>
  <c r="K398" i="6"/>
  <c r="G399" i="6"/>
  <c r="I400" i="6"/>
  <c r="E400" i="6"/>
  <c r="F400" i="6" s="1"/>
  <c r="C400" i="6"/>
  <c r="B401" i="6"/>
  <c r="M398" i="6"/>
  <c r="AD398" i="6" s="1"/>
  <c r="L398" i="6"/>
  <c r="AA398" i="6"/>
  <c r="G360" i="6"/>
  <c r="R360" i="6"/>
  <c r="AC360" i="6"/>
  <c r="AB360" i="6"/>
  <c r="I361" i="6"/>
  <c r="E361" i="6"/>
  <c r="F361" i="6" s="1"/>
  <c r="C361" i="6"/>
  <c r="B362" i="6"/>
  <c r="M359" i="6"/>
  <c r="AD359" i="6" s="1"/>
  <c r="L359" i="6"/>
  <c r="AA359" i="6"/>
  <c r="H359" i="6"/>
  <c r="K359" i="6"/>
  <c r="P357" i="6"/>
  <c r="Q357" i="6" s="1"/>
  <c r="N357" i="6"/>
  <c r="O357" i="6" s="1"/>
  <c r="R323" i="6"/>
  <c r="AC323" i="6"/>
  <c r="AB323" i="6"/>
  <c r="B325" i="6"/>
  <c r="I324" i="6"/>
  <c r="E324" i="6"/>
  <c r="F324" i="6" s="1"/>
  <c r="C324" i="6"/>
  <c r="H322" i="6"/>
  <c r="K322" i="6"/>
  <c r="H323" i="6"/>
  <c r="N321" i="6"/>
  <c r="O321" i="6" s="1"/>
  <c r="P321" i="6"/>
  <c r="Q321" i="6" s="1"/>
  <c r="L322" i="6"/>
  <c r="M322" i="6"/>
  <c r="AA322" i="6"/>
  <c r="M281" i="6"/>
  <c r="AD281" i="6" s="1"/>
  <c r="L281" i="6"/>
  <c r="AA281" i="6"/>
  <c r="N279" i="6"/>
  <c r="O279" i="6" s="1"/>
  <c r="R282" i="6"/>
  <c r="AC282" i="6"/>
  <c r="AB282" i="6"/>
  <c r="G282" i="6"/>
  <c r="I283" i="6"/>
  <c r="E283" i="6"/>
  <c r="F283" i="6" s="1"/>
  <c r="C283" i="6"/>
  <c r="B284" i="6"/>
  <c r="N280" i="6"/>
  <c r="O280" i="6" s="1"/>
  <c r="R243" i="6"/>
  <c r="AC243" i="6"/>
  <c r="AB243" i="6"/>
  <c r="I244" i="6"/>
  <c r="E244" i="6"/>
  <c r="F244" i="6" s="1"/>
  <c r="C244" i="6"/>
  <c r="B245" i="6"/>
  <c r="G243" i="6"/>
  <c r="M242" i="6"/>
  <c r="L242" i="6"/>
  <c r="AD242" i="6"/>
  <c r="AA242" i="6"/>
  <c r="P240" i="6"/>
  <c r="Q240" i="6" s="1"/>
  <c r="G204" i="6"/>
  <c r="M203" i="6"/>
  <c r="L203" i="6"/>
  <c r="AD203" i="6"/>
  <c r="R204" i="6"/>
  <c r="AC204" i="6"/>
  <c r="AB204" i="6"/>
  <c r="I205" i="6"/>
  <c r="E205" i="6"/>
  <c r="F205" i="6" s="1"/>
  <c r="C205" i="6"/>
  <c r="B206" i="6"/>
  <c r="AA203" i="6"/>
  <c r="P202" i="6"/>
  <c r="Q202" i="6" s="1"/>
  <c r="P201" i="6"/>
  <c r="Q201" i="6" s="1"/>
  <c r="H203" i="6"/>
  <c r="K203" i="6"/>
  <c r="N201" i="6"/>
  <c r="O201" i="6" s="1"/>
  <c r="AD163" i="6"/>
  <c r="G165" i="6"/>
  <c r="R165" i="6"/>
  <c r="AC165" i="6"/>
  <c r="AB165" i="6"/>
  <c r="I166" i="6"/>
  <c r="E166" i="6"/>
  <c r="F166" i="6" s="1"/>
  <c r="C166" i="6"/>
  <c r="B167" i="6"/>
  <c r="M164" i="6"/>
  <c r="L164" i="6"/>
  <c r="AA164" i="6"/>
  <c r="H164" i="6"/>
  <c r="K164" i="6"/>
  <c r="R128" i="6"/>
  <c r="AC128" i="6"/>
  <c r="AB128" i="6"/>
  <c r="H127" i="6"/>
  <c r="K127" i="6"/>
  <c r="G128" i="6"/>
  <c r="B130" i="6"/>
  <c r="I129" i="6"/>
  <c r="E129" i="6"/>
  <c r="F129" i="6" s="1"/>
  <c r="C129" i="6"/>
  <c r="N126" i="6"/>
  <c r="O126" i="6" s="1"/>
  <c r="P126" i="6"/>
  <c r="Q126" i="6" s="1"/>
  <c r="P125" i="6"/>
  <c r="Q125" i="6" s="1"/>
  <c r="M127" i="6"/>
  <c r="L127" i="6"/>
  <c r="AD127" i="6"/>
  <c r="AA127" i="6"/>
  <c r="H86" i="6"/>
  <c r="K86" i="6"/>
  <c r="M86" i="6"/>
  <c r="L86" i="6"/>
  <c r="AD86" i="6"/>
  <c r="N84" i="6"/>
  <c r="O84" i="6" s="1"/>
  <c r="AA86" i="6"/>
  <c r="P85" i="6"/>
  <c r="Q85" i="6" s="1"/>
  <c r="G87" i="6"/>
  <c r="R87" i="6"/>
  <c r="AC87" i="6"/>
  <c r="AB87" i="6"/>
  <c r="N85" i="6"/>
  <c r="O85" i="6" s="1"/>
  <c r="I88" i="6"/>
  <c r="E88" i="6"/>
  <c r="F88" i="6" s="1"/>
  <c r="C88" i="6"/>
  <c r="B89" i="6"/>
  <c r="G48" i="6"/>
  <c r="H48" i="6"/>
  <c r="R48" i="6"/>
  <c r="AC48" i="6"/>
  <c r="AB48" i="6"/>
  <c r="K48" i="6"/>
  <c r="I49" i="6"/>
  <c r="E49" i="6"/>
  <c r="F49" i="6" s="1"/>
  <c r="C49" i="6"/>
  <c r="B50" i="6"/>
  <c r="M47" i="6"/>
  <c r="P46" i="6" s="1"/>
  <c r="Q46" i="6" s="1"/>
  <c r="L47" i="6"/>
  <c r="N46" i="6" s="1"/>
  <c r="O46" i="6" s="1"/>
  <c r="AD47" i="6"/>
  <c r="AA47" i="6"/>
  <c r="B10" i="2"/>
  <c r="C9" i="2"/>
  <c r="H438" i="6" l="1"/>
  <c r="K438" i="6"/>
  <c r="B441" i="6"/>
  <c r="I440" i="6"/>
  <c r="E440" i="6"/>
  <c r="F440" i="6" s="1"/>
  <c r="C440" i="6"/>
  <c r="AC439" i="6"/>
  <c r="AB439" i="6"/>
  <c r="R439" i="6"/>
  <c r="AA438" i="6"/>
  <c r="M438" i="6"/>
  <c r="AD438" i="6" s="1"/>
  <c r="L438" i="6"/>
  <c r="N437" i="6"/>
  <c r="O437" i="6" s="1"/>
  <c r="G439" i="6"/>
  <c r="N397" i="6"/>
  <c r="O397" i="6" s="1"/>
  <c r="AC400" i="6"/>
  <c r="AB400" i="6"/>
  <c r="R400" i="6"/>
  <c r="AA399" i="6"/>
  <c r="P397" i="6"/>
  <c r="Q397" i="6" s="1"/>
  <c r="M399" i="6"/>
  <c r="AD399" i="6" s="1"/>
  <c r="L399" i="6"/>
  <c r="H399" i="6"/>
  <c r="K399" i="6"/>
  <c r="G400" i="6"/>
  <c r="B402" i="6"/>
  <c r="I401" i="6"/>
  <c r="E401" i="6"/>
  <c r="F401" i="6" s="1"/>
  <c r="C401" i="6"/>
  <c r="B363" i="6"/>
  <c r="I362" i="6"/>
  <c r="E362" i="6"/>
  <c r="F362" i="6" s="1"/>
  <c r="C362" i="6"/>
  <c r="G361" i="6"/>
  <c r="AC361" i="6"/>
  <c r="AB361" i="6"/>
  <c r="R361" i="6"/>
  <c r="P358" i="6"/>
  <c r="Q358" i="6" s="1"/>
  <c r="AA360" i="6"/>
  <c r="M360" i="6"/>
  <c r="L360" i="6"/>
  <c r="N359" i="6" s="1"/>
  <c r="O359" i="6" s="1"/>
  <c r="H360" i="6"/>
  <c r="K360" i="6"/>
  <c r="N358" i="6"/>
  <c r="O358" i="6" s="1"/>
  <c r="G324" i="6"/>
  <c r="AC324" i="6"/>
  <c r="AB324" i="6"/>
  <c r="R324" i="6"/>
  <c r="C325" i="6"/>
  <c r="B326" i="6"/>
  <c r="I325" i="6"/>
  <c r="E325" i="6"/>
  <c r="F325" i="6" s="1"/>
  <c r="AA323" i="6"/>
  <c r="M323" i="6"/>
  <c r="L323" i="6"/>
  <c r="AD323" i="6" s="1"/>
  <c r="AD322" i="6"/>
  <c r="AC283" i="6"/>
  <c r="AB283" i="6"/>
  <c r="R283" i="6"/>
  <c r="H282" i="6"/>
  <c r="K282" i="6"/>
  <c r="AA282" i="6"/>
  <c r="M282" i="6"/>
  <c r="L282" i="6"/>
  <c r="G283" i="6"/>
  <c r="P280" i="6"/>
  <c r="Q280" i="6" s="1"/>
  <c r="N281" i="6"/>
  <c r="O281" i="6" s="1"/>
  <c r="P281" i="6"/>
  <c r="Q281" i="6" s="1"/>
  <c r="B285" i="6"/>
  <c r="I284" i="6"/>
  <c r="G284" i="6"/>
  <c r="E284" i="6"/>
  <c r="F284" i="6" s="1"/>
  <c r="C284" i="6"/>
  <c r="H243" i="6"/>
  <c r="K243" i="6"/>
  <c r="N241" i="6"/>
  <c r="O241" i="6" s="1"/>
  <c r="P241" i="6"/>
  <c r="Q241" i="6" s="1"/>
  <c r="AA243" i="6"/>
  <c r="AC244" i="6"/>
  <c r="AB244" i="6"/>
  <c r="R244" i="6"/>
  <c r="M243" i="6"/>
  <c r="L243" i="6"/>
  <c r="AD243" i="6"/>
  <c r="B246" i="6"/>
  <c r="I245" i="6"/>
  <c r="E245" i="6"/>
  <c r="F245" i="6" s="1"/>
  <c r="C245" i="6"/>
  <c r="G244" i="6"/>
  <c r="B207" i="6"/>
  <c r="I206" i="6"/>
  <c r="E206" i="6"/>
  <c r="F206" i="6" s="1"/>
  <c r="C206" i="6"/>
  <c r="G205" i="6"/>
  <c r="AC205" i="6"/>
  <c r="AB205" i="6"/>
  <c r="R205" i="6"/>
  <c r="AA204" i="6"/>
  <c r="M204" i="6"/>
  <c r="AD204" i="6" s="1"/>
  <c r="L204" i="6"/>
  <c r="H204" i="6"/>
  <c r="K204" i="6"/>
  <c r="N202" i="6"/>
  <c r="O202" i="6" s="1"/>
  <c r="B168" i="6"/>
  <c r="I167" i="6"/>
  <c r="E167" i="6"/>
  <c r="F167" i="6" s="1"/>
  <c r="C167" i="6"/>
  <c r="G166" i="6"/>
  <c r="AC166" i="6"/>
  <c r="AB166" i="6"/>
  <c r="R166" i="6"/>
  <c r="N164" i="6"/>
  <c r="O164" i="6" s="1"/>
  <c r="N163" i="6"/>
  <c r="O163" i="6" s="1"/>
  <c r="AA165" i="6"/>
  <c r="M165" i="6"/>
  <c r="L165" i="6"/>
  <c r="AD165" i="6"/>
  <c r="H165" i="6"/>
  <c r="K165" i="6"/>
  <c r="P163" i="6"/>
  <c r="Q163" i="6" s="1"/>
  <c r="AD164" i="6"/>
  <c r="G129" i="6"/>
  <c r="B131" i="6"/>
  <c r="I130" i="6"/>
  <c r="E130" i="6"/>
  <c r="F130" i="6" s="1"/>
  <c r="C130" i="6"/>
  <c r="AC129" i="6"/>
  <c r="AB129" i="6"/>
  <c r="R129" i="6"/>
  <c r="H128" i="6"/>
  <c r="K128" i="6"/>
  <c r="AA128" i="6"/>
  <c r="M128" i="6"/>
  <c r="L128" i="6"/>
  <c r="AD128" i="6"/>
  <c r="N127" i="6"/>
  <c r="O127" i="6" s="1"/>
  <c r="AA87" i="6"/>
  <c r="B90" i="6"/>
  <c r="I89" i="6"/>
  <c r="E89" i="6"/>
  <c r="F89" i="6" s="1"/>
  <c r="C89" i="6"/>
  <c r="G88" i="6"/>
  <c r="M87" i="6"/>
  <c r="L87" i="6"/>
  <c r="AD87" i="6" s="1"/>
  <c r="AC88" i="6"/>
  <c r="AB88" i="6"/>
  <c r="R88" i="6"/>
  <c r="H87" i="6"/>
  <c r="K87" i="6"/>
  <c r="B51" i="6"/>
  <c r="I50" i="6"/>
  <c r="G50" i="6"/>
  <c r="H50" i="6" s="1"/>
  <c r="E50" i="6"/>
  <c r="F50" i="6" s="1"/>
  <c r="C50" i="6"/>
  <c r="AC49" i="6"/>
  <c r="AB49" i="6"/>
  <c r="R49" i="6"/>
  <c r="AA48" i="6"/>
  <c r="N47" i="6"/>
  <c r="O47" i="6" s="1"/>
  <c r="M48" i="6"/>
  <c r="L48" i="6"/>
  <c r="AD48" i="6"/>
  <c r="G49" i="6"/>
  <c r="C10" i="2"/>
  <c r="B11" i="2"/>
  <c r="G440" i="6" l="1"/>
  <c r="L439" i="6"/>
  <c r="M439" i="6"/>
  <c r="AA439" i="6"/>
  <c r="R440" i="6"/>
  <c r="AC440" i="6"/>
  <c r="AB440" i="6"/>
  <c r="B442" i="6"/>
  <c r="I441" i="6"/>
  <c r="E441" i="6"/>
  <c r="F441" i="6" s="1"/>
  <c r="C441" i="6"/>
  <c r="P437" i="6"/>
  <c r="Q437" i="6" s="1"/>
  <c r="H439" i="6"/>
  <c r="K439" i="6"/>
  <c r="H400" i="6"/>
  <c r="K400" i="6"/>
  <c r="M400" i="6"/>
  <c r="L400" i="6"/>
  <c r="AD400" i="6"/>
  <c r="AA400" i="6"/>
  <c r="G401" i="6"/>
  <c r="R401" i="6"/>
  <c r="AC401" i="6"/>
  <c r="AB401" i="6"/>
  <c r="B403" i="6"/>
  <c r="I402" i="6"/>
  <c r="G402" i="6"/>
  <c r="H402" i="6" s="1"/>
  <c r="E402" i="6"/>
  <c r="F402" i="6" s="1"/>
  <c r="C402" i="6"/>
  <c r="N398" i="6"/>
  <c r="O398" i="6" s="1"/>
  <c r="P398" i="6"/>
  <c r="Q398" i="6" s="1"/>
  <c r="M361" i="6"/>
  <c r="L361" i="6"/>
  <c r="AA361" i="6"/>
  <c r="G362" i="6"/>
  <c r="R362" i="6"/>
  <c r="AC362" i="6"/>
  <c r="AB362" i="6"/>
  <c r="B364" i="6"/>
  <c r="I363" i="6"/>
  <c r="E363" i="6"/>
  <c r="F363" i="6" s="1"/>
  <c r="C363" i="6"/>
  <c r="P359" i="6"/>
  <c r="Q359" i="6" s="1"/>
  <c r="AD360" i="6"/>
  <c r="H361" i="6"/>
  <c r="K361" i="6"/>
  <c r="N360" i="6"/>
  <c r="O360" i="6" s="1"/>
  <c r="P360" i="6"/>
  <c r="Q360" i="6" s="1"/>
  <c r="P322" i="6"/>
  <c r="Q322" i="6" s="1"/>
  <c r="L324" i="6"/>
  <c r="M324" i="6"/>
  <c r="AD324" i="6" s="1"/>
  <c r="AA324" i="6"/>
  <c r="R325" i="6"/>
  <c r="AC325" i="6"/>
  <c r="AB325" i="6"/>
  <c r="B327" i="6"/>
  <c r="I326" i="6"/>
  <c r="E326" i="6"/>
  <c r="F326" i="6" s="1"/>
  <c r="C326" i="6"/>
  <c r="N323" i="6"/>
  <c r="O323" i="6" s="1"/>
  <c r="G325" i="6"/>
  <c r="H324" i="6"/>
  <c r="K324" i="6"/>
  <c r="N322" i="6"/>
  <c r="O322" i="6" s="1"/>
  <c r="B286" i="6"/>
  <c r="I285" i="6"/>
  <c r="E285" i="6"/>
  <c r="F285" i="6" s="1"/>
  <c r="C285" i="6"/>
  <c r="AD282" i="6"/>
  <c r="H283" i="6"/>
  <c r="K283" i="6"/>
  <c r="H284" i="6"/>
  <c r="M283" i="6"/>
  <c r="L283" i="6"/>
  <c r="AD283" i="6"/>
  <c r="R284" i="6"/>
  <c r="AC284" i="6"/>
  <c r="AB284" i="6"/>
  <c r="AA283" i="6"/>
  <c r="K284" i="6"/>
  <c r="B247" i="6"/>
  <c r="I246" i="6"/>
  <c r="E246" i="6"/>
  <c r="F246" i="6" s="1"/>
  <c r="C246" i="6"/>
  <c r="M244" i="6"/>
  <c r="L244" i="6"/>
  <c r="AD244" i="6"/>
  <c r="R245" i="6"/>
  <c r="AC245" i="6"/>
  <c r="AB245" i="6"/>
  <c r="AA244" i="6"/>
  <c r="N242" i="6"/>
  <c r="O242" i="6" s="1"/>
  <c r="P242" i="6"/>
  <c r="Q242" i="6" s="1"/>
  <c r="H244" i="6"/>
  <c r="K244" i="6"/>
  <c r="G245" i="6"/>
  <c r="M205" i="6"/>
  <c r="L205" i="6"/>
  <c r="AD205" i="6" s="1"/>
  <c r="AA205" i="6"/>
  <c r="H205" i="6"/>
  <c r="K205" i="6"/>
  <c r="P203" i="6"/>
  <c r="Q203" i="6" s="1"/>
  <c r="G206" i="6"/>
  <c r="R206" i="6"/>
  <c r="AC206" i="6"/>
  <c r="AB206" i="6"/>
  <c r="B208" i="6"/>
  <c r="I207" i="6"/>
  <c r="E207" i="6"/>
  <c r="F207" i="6" s="1"/>
  <c r="C207" i="6"/>
  <c r="N203" i="6"/>
  <c r="O203" i="6" s="1"/>
  <c r="M166" i="6"/>
  <c r="L166" i="6"/>
  <c r="AD166" i="6" s="1"/>
  <c r="AA166" i="6"/>
  <c r="H166" i="6"/>
  <c r="K166" i="6"/>
  <c r="G167" i="6"/>
  <c r="R167" i="6"/>
  <c r="AC167" i="6"/>
  <c r="AB167" i="6"/>
  <c r="B169" i="6"/>
  <c r="I168" i="6"/>
  <c r="E168" i="6"/>
  <c r="F168" i="6" s="1"/>
  <c r="C168" i="6"/>
  <c r="P164" i="6"/>
  <c r="Q164" i="6" s="1"/>
  <c r="L129" i="6"/>
  <c r="M129" i="6"/>
  <c r="AD129" i="6" s="1"/>
  <c r="AA129" i="6"/>
  <c r="G130" i="6"/>
  <c r="R130" i="6"/>
  <c r="AC130" i="6"/>
  <c r="AB130" i="6"/>
  <c r="B132" i="6"/>
  <c r="I131" i="6"/>
  <c r="E131" i="6"/>
  <c r="F131" i="6" s="1"/>
  <c r="C131" i="6"/>
  <c r="H129" i="6"/>
  <c r="K129" i="6"/>
  <c r="P127" i="6"/>
  <c r="Q127" i="6" s="1"/>
  <c r="H88" i="6"/>
  <c r="K88" i="6"/>
  <c r="N86" i="6"/>
  <c r="O86" i="6" s="1"/>
  <c r="G89" i="6"/>
  <c r="P86" i="6"/>
  <c r="Q86" i="6" s="1"/>
  <c r="M88" i="6"/>
  <c r="L88" i="6"/>
  <c r="AD88" i="6"/>
  <c r="B91" i="6"/>
  <c r="I90" i="6"/>
  <c r="E90" i="6"/>
  <c r="F90" i="6" s="1"/>
  <c r="C90" i="6"/>
  <c r="AA88" i="6"/>
  <c r="R89" i="6"/>
  <c r="AC89" i="6"/>
  <c r="AB89" i="6"/>
  <c r="M49" i="6"/>
  <c r="L49" i="6"/>
  <c r="AA49" i="6"/>
  <c r="N48" i="6"/>
  <c r="O48" i="6" s="1"/>
  <c r="P47" i="6"/>
  <c r="Q47" i="6" s="1"/>
  <c r="R50" i="6"/>
  <c r="AC50" i="6"/>
  <c r="AB50" i="6"/>
  <c r="K50" i="6"/>
  <c r="B52" i="6"/>
  <c r="I51" i="6"/>
  <c r="E51" i="6"/>
  <c r="F51" i="6" s="1"/>
  <c r="C51" i="6"/>
  <c r="H49" i="6"/>
  <c r="K49" i="6"/>
  <c r="C11" i="2"/>
  <c r="B12" i="2"/>
  <c r="G441" i="6" l="1"/>
  <c r="C442" i="6"/>
  <c r="B443" i="6"/>
  <c r="I442" i="6"/>
  <c r="E442" i="6"/>
  <c r="F442" i="6" s="1"/>
  <c r="AA440" i="6"/>
  <c r="M440" i="6"/>
  <c r="P439" i="6" s="1"/>
  <c r="Q439" i="6" s="1"/>
  <c r="L440" i="6"/>
  <c r="AD440" i="6"/>
  <c r="AC441" i="6"/>
  <c r="AB441" i="6"/>
  <c r="R441" i="6"/>
  <c r="AD439" i="6"/>
  <c r="N439" i="6"/>
  <c r="O439" i="6" s="1"/>
  <c r="N438" i="6"/>
  <c r="O438" i="6" s="1"/>
  <c r="H440" i="6"/>
  <c r="K440" i="6"/>
  <c r="P438" i="6"/>
  <c r="Q438" i="6" s="1"/>
  <c r="AA401" i="6"/>
  <c r="B404" i="6"/>
  <c r="I403" i="6"/>
  <c r="E403" i="6"/>
  <c r="F403" i="6" s="1"/>
  <c r="C403" i="6"/>
  <c r="M401" i="6"/>
  <c r="P400" i="6" s="1"/>
  <c r="Q400" i="6" s="1"/>
  <c r="L401" i="6"/>
  <c r="N400" i="6" s="1"/>
  <c r="O400" i="6" s="1"/>
  <c r="P399" i="6"/>
  <c r="Q399" i="6" s="1"/>
  <c r="H401" i="6"/>
  <c r="K401" i="6"/>
  <c r="AC402" i="6"/>
  <c r="AB402" i="6"/>
  <c r="R402" i="6"/>
  <c r="N399" i="6"/>
  <c r="O399" i="6" s="1"/>
  <c r="K402" i="6"/>
  <c r="G363" i="6"/>
  <c r="M362" i="6"/>
  <c r="L362" i="6"/>
  <c r="AD362" i="6" s="1"/>
  <c r="H362" i="6"/>
  <c r="K362" i="6"/>
  <c r="AC363" i="6"/>
  <c r="AB363" i="6"/>
  <c r="R363" i="6"/>
  <c r="P361" i="6"/>
  <c r="Q361" i="6" s="1"/>
  <c r="AA362" i="6"/>
  <c r="AD361" i="6"/>
  <c r="C364" i="6"/>
  <c r="B365" i="6"/>
  <c r="I364" i="6"/>
  <c r="E364" i="6"/>
  <c r="F364" i="6" s="1"/>
  <c r="G326" i="6"/>
  <c r="AC326" i="6"/>
  <c r="AB326" i="6"/>
  <c r="R326" i="6"/>
  <c r="C327" i="6"/>
  <c r="E327" i="6"/>
  <c r="F327" i="6" s="1"/>
  <c r="B328" i="6"/>
  <c r="I327" i="6"/>
  <c r="G327" i="6"/>
  <c r="AA325" i="6"/>
  <c r="H325" i="6"/>
  <c r="K325" i="6"/>
  <c r="M325" i="6"/>
  <c r="L325" i="6"/>
  <c r="AD325" i="6"/>
  <c r="P324" i="6"/>
  <c r="Q324" i="6" s="1"/>
  <c r="N324" i="6"/>
  <c r="O324" i="6" s="1"/>
  <c r="P323" i="6"/>
  <c r="Q323" i="6" s="1"/>
  <c r="P282" i="6"/>
  <c r="Q282" i="6" s="1"/>
  <c r="N282" i="6"/>
  <c r="O282" i="6" s="1"/>
  <c r="G285" i="6"/>
  <c r="AA284" i="6"/>
  <c r="AC285" i="6"/>
  <c r="AB285" i="6"/>
  <c r="R285" i="6"/>
  <c r="M284" i="6"/>
  <c r="L284" i="6"/>
  <c r="AD284" i="6"/>
  <c r="B287" i="6"/>
  <c r="I286" i="6"/>
  <c r="G286" i="6"/>
  <c r="K286" i="6" s="1"/>
  <c r="E286" i="6"/>
  <c r="F286" i="6" s="1"/>
  <c r="C286" i="6"/>
  <c r="P244" i="6"/>
  <c r="Q244" i="6" s="1"/>
  <c r="AA245" i="6"/>
  <c r="M245" i="6"/>
  <c r="L245" i="6"/>
  <c r="AD245" i="6"/>
  <c r="N244" i="6"/>
  <c r="O244" i="6" s="1"/>
  <c r="N243" i="6"/>
  <c r="O243" i="6" s="1"/>
  <c r="P243" i="6"/>
  <c r="Q243" i="6" s="1"/>
  <c r="H245" i="6"/>
  <c r="K245" i="6"/>
  <c r="G246" i="6"/>
  <c r="AC246" i="6"/>
  <c r="AB246" i="6"/>
  <c r="R246" i="6"/>
  <c r="B248" i="6"/>
  <c r="I247" i="6"/>
  <c r="E247" i="6"/>
  <c r="F247" i="6" s="1"/>
  <c r="C247" i="6"/>
  <c r="B209" i="6"/>
  <c r="I208" i="6"/>
  <c r="C208" i="6"/>
  <c r="E208" i="6"/>
  <c r="F208" i="6" s="1"/>
  <c r="M206" i="6"/>
  <c r="L206" i="6"/>
  <c r="AD206" i="6"/>
  <c r="H206" i="6"/>
  <c r="K206" i="6"/>
  <c r="AA206" i="6"/>
  <c r="N205" i="6"/>
  <c r="O205" i="6" s="1"/>
  <c r="P205" i="6"/>
  <c r="Q205" i="6" s="1"/>
  <c r="P204" i="6"/>
  <c r="Q204" i="6" s="1"/>
  <c r="G207" i="6"/>
  <c r="N204" i="6"/>
  <c r="O204" i="6" s="1"/>
  <c r="AC207" i="6"/>
  <c r="AB207" i="6"/>
  <c r="R207" i="6"/>
  <c r="B170" i="6"/>
  <c r="I169" i="6"/>
  <c r="E169" i="6"/>
  <c r="F169" i="6" s="1"/>
  <c r="C169" i="6"/>
  <c r="M167" i="6"/>
  <c r="AD167" i="6" s="1"/>
  <c r="L167" i="6"/>
  <c r="H167" i="6"/>
  <c r="K167" i="6"/>
  <c r="N166" i="6"/>
  <c r="O166" i="6" s="1"/>
  <c r="P166" i="6"/>
  <c r="Q166" i="6" s="1"/>
  <c r="AA167" i="6"/>
  <c r="G168" i="6"/>
  <c r="P165" i="6"/>
  <c r="Q165" i="6" s="1"/>
  <c r="AC168" i="6"/>
  <c r="AB168" i="6"/>
  <c r="R168" i="6"/>
  <c r="N165" i="6"/>
  <c r="O165" i="6" s="1"/>
  <c r="AC131" i="6"/>
  <c r="AB131" i="6"/>
  <c r="R131" i="6"/>
  <c r="AA130" i="6"/>
  <c r="G131" i="6"/>
  <c r="M130" i="6"/>
  <c r="AD130" i="6" s="1"/>
  <c r="L130" i="6"/>
  <c r="H130" i="6"/>
  <c r="K130" i="6"/>
  <c r="C132" i="6"/>
  <c r="B133" i="6"/>
  <c r="I132" i="6"/>
  <c r="E132" i="6"/>
  <c r="F132" i="6" s="1"/>
  <c r="P129" i="6"/>
  <c r="Q129" i="6" s="1"/>
  <c r="N129" i="6"/>
  <c r="O129" i="6" s="1"/>
  <c r="N128" i="6"/>
  <c r="O128" i="6" s="1"/>
  <c r="P128" i="6"/>
  <c r="Q128" i="6" s="1"/>
  <c r="G90" i="6"/>
  <c r="AC90" i="6"/>
  <c r="AB90" i="6"/>
  <c r="R90" i="6"/>
  <c r="B92" i="6"/>
  <c r="I91" i="6"/>
  <c r="E91" i="6"/>
  <c r="F91" i="6" s="1"/>
  <c r="C91" i="6"/>
  <c r="H89" i="6"/>
  <c r="K89" i="6"/>
  <c r="AA89" i="6"/>
  <c r="P87" i="6"/>
  <c r="Q87" i="6" s="1"/>
  <c r="M89" i="6"/>
  <c r="L89" i="6"/>
  <c r="N87" i="6"/>
  <c r="O87" i="6" s="1"/>
  <c r="G51" i="6"/>
  <c r="AC51" i="6"/>
  <c r="AB51" i="6"/>
  <c r="R51" i="6"/>
  <c r="B53" i="6"/>
  <c r="I52" i="6"/>
  <c r="E52" i="6"/>
  <c r="F52" i="6" s="1"/>
  <c r="C52" i="6"/>
  <c r="M50" i="6"/>
  <c r="L50" i="6"/>
  <c r="N49" i="6" s="1"/>
  <c r="O49" i="6" s="1"/>
  <c r="AA50" i="6"/>
  <c r="P48" i="6"/>
  <c r="Q48" i="6" s="1"/>
  <c r="AD49" i="6"/>
  <c r="B13" i="2"/>
  <c r="C12" i="2"/>
  <c r="AA441" i="6" l="1"/>
  <c r="N440" i="6"/>
  <c r="O440" i="6" s="1"/>
  <c r="G442" i="6"/>
  <c r="L441" i="6"/>
  <c r="M441" i="6"/>
  <c r="P440" i="6"/>
  <c r="Q440" i="6" s="1"/>
  <c r="R442" i="6"/>
  <c r="AC442" i="6"/>
  <c r="AB442" i="6"/>
  <c r="B444" i="6"/>
  <c r="I443" i="6"/>
  <c r="E443" i="6"/>
  <c r="F443" i="6" s="1"/>
  <c r="C443" i="6"/>
  <c r="H441" i="6"/>
  <c r="K441" i="6"/>
  <c r="AA402" i="6"/>
  <c r="G403" i="6"/>
  <c r="L402" i="6"/>
  <c r="M402" i="6"/>
  <c r="AD402" i="6" s="1"/>
  <c r="N401" i="6"/>
  <c r="O401" i="6" s="1"/>
  <c r="AD401" i="6"/>
  <c r="R403" i="6"/>
  <c r="AC403" i="6"/>
  <c r="AB403" i="6"/>
  <c r="B405" i="6"/>
  <c r="I404" i="6"/>
  <c r="E404" i="6"/>
  <c r="F404" i="6" s="1"/>
  <c r="C404" i="6"/>
  <c r="L363" i="6"/>
  <c r="M363" i="6"/>
  <c r="AD363" i="6" s="1"/>
  <c r="AA363" i="6"/>
  <c r="N361" i="6"/>
  <c r="O361" i="6" s="1"/>
  <c r="B366" i="6"/>
  <c r="I365" i="6"/>
  <c r="E365" i="6"/>
  <c r="F365" i="6" s="1"/>
  <c r="C365" i="6"/>
  <c r="N362" i="6"/>
  <c r="O362" i="6" s="1"/>
  <c r="P362" i="6"/>
  <c r="Q362" i="6" s="1"/>
  <c r="G364" i="6"/>
  <c r="H363" i="6"/>
  <c r="K363" i="6"/>
  <c r="R364" i="6"/>
  <c r="AC364" i="6"/>
  <c r="AB364" i="6"/>
  <c r="H327" i="6"/>
  <c r="R327" i="6"/>
  <c r="AC327" i="6"/>
  <c r="AB327" i="6"/>
  <c r="K327" i="6"/>
  <c r="B329" i="6"/>
  <c r="I328" i="6"/>
  <c r="E328" i="6"/>
  <c r="F328" i="6" s="1"/>
  <c r="C328" i="6"/>
  <c r="M326" i="6"/>
  <c r="L326" i="6"/>
  <c r="AA326" i="6"/>
  <c r="H326" i="6"/>
  <c r="K326" i="6"/>
  <c r="B288" i="6"/>
  <c r="I287" i="6"/>
  <c r="E287" i="6"/>
  <c r="F287" i="6" s="1"/>
  <c r="C287" i="6"/>
  <c r="R286" i="6"/>
  <c r="AC286" i="6"/>
  <c r="AB286" i="6"/>
  <c r="AA285" i="6"/>
  <c r="L285" i="6"/>
  <c r="M285" i="6"/>
  <c r="AD285" i="6" s="1"/>
  <c r="H285" i="6"/>
  <c r="K285" i="6"/>
  <c r="N283" i="6"/>
  <c r="O283" i="6" s="1"/>
  <c r="H286" i="6"/>
  <c r="P284" i="6"/>
  <c r="Q284" i="6" s="1"/>
  <c r="P283" i="6"/>
  <c r="Q283" i="6" s="1"/>
  <c r="H246" i="6"/>
  <c r="K246" i="6"/>
  <c r="R247" i="6"/>
  <c r="AC247" i="6"/>
  <c r="AB247" i="6"/>
  <c r="B249" i="6"/>
  <c r="I248" i="6"/>
  <c r="E248" i="6"/>
  <c r="F248" i="6" s="1"/>
  <c r="C248" i="6"/>
  <c r="L246" i="6"/>
  <c r="M246" i="6"/>
  <c r="AD246" i="6"/>
  <c r="AA246" i="6"/>
  <c r="P245" i="6"/>
  <c r="Q245" i="6" s="1"/>
  <c r="N245" i="6"/>
  <c r="O245" i="6" s="1"/>
  <c r="G247" i="6"/>
  <c r="H207" i="6"/>
  <c r="K207" i="6"/>
  <c r="G208" i="6"/>
  <c r="R208" i="6"/>
  <c r="AC208" i="6"/>
  <c r="AB208" i="6"/>
  <c r="L207" i="6"/>
  <c r="M207" i="6"/>
  <c r="AA207" i="6"/>
  <c r="B210" i="6"/>
  <c r="I209" i="6"/>
  <c r="G209" i="6"/>
  <c r="K209" i="6" s="1"/>
  <c r="E209" i="6"/>
  <c r="F209" i="6" s="1"/>
  <c r="C209" i="6"/>
  <c r="L168" i="6"/>
  <c r="M168" i="6"/>
  <c r="P167" i="6" s="1"/>
  <c r="Q167" i="6" s="1"/>
  <c r="AA168" i="6"/>
  <c r="H168" i="6"/>
  <c r="K168" i="6"/>
  <c r="N167" i="6"/>
  <c r="O167" i="6" s="1"/>
  <c r="G169" i="6"/>
  <c r="R169" i="6"/>
  <c r="AC169" i="6"/>
  <c r="AB169" i="6"/>
  <c r="B171" i="6"/>
  <c r="I170" i="6"/>
  <c r="E170" i="6"/>
  <c r="F170" i="6" s="1"/>
  <c r="C170" i="6"/>
  <c r="G132" i="6"/>
  <c r="R132" i="6"/>
  <c r="AC132" i="6"/>
  <c r="AB132" i="6"/>
  <c r="B134" i="6"/>
  <c r="I133" i="6"/>
  <c r="E133" i="6"/>
  <c r="F133" i="6" s="1"/>
  <c r="C133" i="6"/>
  <c r="H131" i="6"/>
  <c r="K131" i="6"/>
  <c r="M131" i="6"/>
  <c r="AD131" i="6" s="1"/>
  <c r="L131" i="6"/>
  <c r="AA131" i="6"/>
  <c r="N88" i="6"/>
  <c r="O88" i="6" s="1"/>
  <c r="P88" i="6"/>
  <c r="Q88" i="6" s="1"/>
  <c r="G91" i="6"/>
  <c r="R91" i="6"/>
  <c r="AC91" i="6"/>
  <c r="AB91" i="6"/>
  <c r="B93" i="6"/>
  <c r="I92" i="6"/>
  <c r="E92" i="6"/>
  <c r="F92" i="6" s="1"/>
  <c r="C92" i="6"/>
  <c r="L90" i="6"/>
  <c r="M90" i="6"/>
  <c r="AA90" i="6"/>
  <c r="AD89" i="6"/>
  <c r="H90" i="6"/>
  <c r="K90" i="6"/>
  <c r="AD50" i="6"/>
  <c r="G52" i="6"/>
  <c r="H51" i="6"/>
  <c r="K51" i="6"/>
  <c r="B54" i="6"/>
  <c r="I53" i="6"/>
  <c r="E53" i="6"/>
  <c r="F53" i="6" s="1"/>
  <c r="C53" i="6"/>
  <c r="L51" i="6"/>
  <c r="M51" i="6"/>
  <c r="AD51" i="6"/>
  <c r="AA51" i="6"/>
  <c r="P49" i="6"/>
  <c r="Q49" i="6" s="1"/>
  <c r="H52" i="6"/>
  <c r="R52" i="6"/>
  <c r="AC52" i="6"/>
  <c r="AB52" i="6"/>
  <c r="K52" i="6"/>
  <c r="C13" i="2"/>
  <c r="B14" i="2"/>
  <c r="G443" i="6" l="1"/>
  <c r="AC443" i="6"/>
  <c r="AB443" i="6"/>
  <c r="R443" i="6"/>
  <c r="C444" i="6"/>
  <c r="B445" i="6"/>
  <c r="I444" i="6"/>
  <c r="E444" i="6"/>
  <c r="F444" i="6" s="1"/>
  <c r="AA442" i="6"/>
  <c r="M442" i="6"/>
  <c r="L442" i="6"/>
  <c r="P441" i="6"/>
  <c r="Q441" i="6" s="1"/>
  <c r="AD441" i="6"/>
  <c r="H442" i="6"/>
  <c r="K442" i="6"/>
  <c r="G404" i="6"/>
  <c r="C405" i="6"/>
  <c r="B406" i="6"/>
  <c r="I405" i="6"/>
  <c r="E405" i="6"/>
  <c r="F405" i="6" s="1"/>
  <c r="AA403" i="6"/>
  <c r="AC404" i="6"/>
  <c r="AB404" i="6"/>
  <c r="R404" i="6"/>
  <c r="M403" i="6"/>
  <c r="AD403" i="6" s="1"/>
  <c r="L403" i="6"/>
  <c r="N402" i="6"/>
  <c r="O402" i="6" s="1"/>
  <c r="H403" i="6"/>
  <c r="K403" i="6"/>
  <c r="P401" i="6"/>
  <c r="Q401" i="6" s="1"/>
  <c r="M364" i="6"/>
  <c r="L364" i="6"/>
  <c r="AD364" i="6" s="1"/>
  <c r="AA364" i="6"/>
  <c r="H364" i="6"/>
  <c r="K364" i="6"/>
  <c r="AC365" i="6"/>
  <c r="AB365" i="6"/>
  <c r="R365" i="6"/>
  <c r="C366" i="6"/>
  <c r="B367" i="6"/>
  <c r="I366" i="6"/>
  <c r="E366" i="6"/>
  <c r="F366" i="6" s="1"/>
  <c r="G365" i="6"/>
  <c r="P363" i="6"/>
  <c r="Q363" i="6" s="1"/>
  <c r="N363" i="6"/>
  <c r="O363" i="6" s="1"/>
  <c r="N325" i="6"/>
  <c r="O325" i="6" s="1"/>
  <c r="G328" i="6"/>
  <c r="R328" i="6"/>
  <c r="AC328" i="6"/>
  <c r="AB328" i="6"/>
  <c r="AD326" i="6"/>
  <c r="E329" i="6"/>
  <c r="F329" i="6" s="1"/>
  <c r="C329" i="6"/>
  <c r="B330" i="6"/>
  <c r="I329" i="6"/>
  <c r="G329" i="6"/>
  <c r="H329" i="6" s="1"/>
  <c r="K329" i="6"/>
  <c r="AA327" i="6"/>
  <c r="M327" i="6"/>
  <c r="P326" i="6" s="1"/>
  <c r="Q326" i="6" s="1"/>
  <c r="L327" i="6"/>
  <c r="AD327" i="6" s="1"/>
  <c r="P325" i="6"/>
  <c r="Q325" i="6" s="1"/>
  <c r="AA286" i="6"/>
  <c r="G287" i="6"/>
  <c r="M286" i="6"/>
  <c r="L286" i="6"/>
  <c r="AD286" i="6"/>
  <c r="AC287" i="6"/>
  <c r="AB287" i="6"/>
  <c r="R287" i="6"/>
  <c r="C288" i="6"/>
  <c r="B289" i="6"/>
  <c r="I288" i="6"/>
  <c r="E288" i="6"/>
  <c r="F288" i="6" s="1"/>
  <c r="N284" i="6"/>
  <c r="O284" i="6" s="1"/>
  <c r="H247" i="6"/>
  <c r="K247" i="6"/>
  <c r="G248" i="6"/>
  <c r="AC248" i="6"/>
  <c r="AB248" i="6"/>
  <c r="R248" i="6"/>
  <c r="C249" i="6"/>
  <c r="B250" i="6"/>
  <c r="I249" i="6"/>
  <c r="E249" i="6"/>
  <c r="F249" i="6" s="1"/>
  <c r="AA247" i="6"/>
  <c r="M247" i="6"/>
  <c r="P246" i="6" s="1"/>
  <c r="Q246" i="6" s="1"/>
  <c r="L247" i="6"/>
  <c r="AC209" i="6"/>
  <c r="AB209" i="6"/>
  <c r="R209" i="6"/>
  <c r="C210" i="6"/>
  <c r="B211" i="6"/>
  <c r="I210" i="6"/>
  <c r="E210" i="6"/>
  <c r="F210" i="6" s="1"/>
  <c r="G210" i="6"/>
  <c r="H210" i="6" s="1"/>
  <c r="AD207" i="6"/>
  <c r="AA208" i="6"/>
  <c r="M208" i="6"/>
  <c r="AD208" i="6" s="1"/>
  <c r="L208" i="6"/>
  <c r="N207" i="6" s="1"/>
  <c r="O207" i="6" s="1"/>
  <c r="H208" i="6"/>
  <c r="K208" i="6"/>
  <c r="P206" i="6"/>
  <c r="Q206" i="6" s="1"/>
  <c r="H209" i="6"/>
  <c r="N206" i="6"/>
  <c r="O206" i="6" s="1"/>
  <c r="C171" i="6"/>
  <c r="B172" i="6"/>
  <c r="I171" i="6"/>
  <c r="E171" i="6"/>
  <c r="F171" i="6" s="1"/>
  <c r="AC170" i="6"/>
  <c r="AB170" i="6"/>
  <c r="R170" i="6"/>
  <c r="AA169" i="6"/>
  <c r="M169" i="6"/>
  <c r="L169" i="6"/>
  <c r="H169" i="6"/>
  <c r="K169" i="6"/>
  <c r="P168" i="6"/>
  <c r="Q168" i="6" s="1"/>
  <c r="AD168" i="6"/>
  <c r="G170" i="6"/>
  <c r="N168" i="6"/>
  <c r="O168" i="6" s="1"/>
  <c r="P130" i="6"/>
  <c r="Q130" i="6" s="1"/>
  <c r="N130" i="6"/>
  <c r="O130" i="6" s="1"/>
  <c r="G133" i="6"/>
  <c r="AC133" i="6"/>
  <c r="AB133" i="6"/>
  <c r="R133" i="6"/>
  <c r="E134" i="6"/>
  <c r="F134" i="6" s="1"/>
  <c r="C134" i="6"/>
  <c r="B135" i="6"/>
  <c r="I134" i="6"/>
  <c r="G134" i="6"/>
  <c r="AA132" i="6"/>
  <c r="M132" i="6"/>
  <c r="L132" i="6"/>
  <c r="AD132" i="6"/>
  <c r="H132" i="6"/>
  <c r="K132" i="6"/>
  <c r="C93" i="6"/>
  <c r="B94" i="6"/>
  <c r="I93" i="6"/>
  <c r="G93" i="6"/>
  <c r="H93" i="6" s="1"/>
  <c r="E93" i="6"/>
  <c r="F93" i="6" s="1"/>
  <c r="G92" i="6"/>
  <c r="AA91" i="6"/>
  <c r="AD90" i="6"/>
  <c r="AC92" i="6"/>
  <c r="AB92" i="6"/>
  <c r="R92" i="6"/>
  <c r="M91" i="6"/>
  <c r="AD91" i="6" s="1"/>
  <c r="L91" i="6"/>
  <c r="H91" i="6"/>
  <c r="K91" i="6"/>
  <c r="P89" i="6"/>
  <c r="Q89" i="6" s="1"/>
  <c r="N89" i="6"/>
  <c r="O89" i="6" s="1"/>
  <c r="G53" i="6"/>
  <c r="C54" i="6"/>
  <c r="B55" i="6"/>
  <c r="I54" i="6"/>
  <c r="E54" i="6"/>
  <c r="F54" i="6" s="1"/>
  <c r="M52" i="6"/>
  <c r="L52" i="6"/>
  <c r="P50" i="6"/>
  <c r="Q50" i="6" s="1"/>
  <c r="AA52" i="6"/>
  <c r="AC53" i="6"/>
  <c r="AB53" i="6"/>
  <c r="R53" i="6"/>
  <c r="N50" i="6"/>
  <c r="O50" i="6" s="1"/>
  <c r="B15" i="2"/>
  <c r="C14" i="2"/>
  <c r="R444" i="6" l="1"/>
  <c r="AC444" i="6"/>
  <c r="AB444" i="6"/>
  <c r="N441" i="6"/>
  <c r="O441" i="6" s="1"/>
  <c r="AD442" i="6"/>
  <c r="G444" i="6"/>
  <c r="B446" i="6"/>
  <c r="I445" i="6"/>
  <c r="E445" i="6"/>
  <c r="F445" i="6" s="1"/>
  <c r="C445" i="6"/>
  <c r="M443" i="6"/>
  <c r="P442" i="6" s="1"/>
  <c r="Q442" i="6" s="1"/>
  <c r="L443" i="6"/>
  <c r="AA443" i="6"/>
  <c r="H443" i="6"/>
  <c r="K443" i="6"/>
  <c r="P402" i="6"/>
  <c r="Q402" i="6" s="1"/>
  <c r="M404" i="6"/>
  <c r="AD404" i="6" s="1"/>
  <c r="L404" i="6"/>
  <c r="AA404" i="6"/>
  <c r="G405" i="6"/>
  <c r="R405" i="6"/>
  <c r="AC405" i="6"/>
  <c r="AB405" i="6"/>
  <c r="P403" i="6"/>
  <c r="Q403" i="6" s="1"/>
  <c r="B407" i="6"/>
  <c r="I406" i="6"/>
  <c r="E406" i="6"/>
  <c r="F406" i="6" s="1"/>
  <c r="C406" i="6"/>
  <c r="H404" i="6"/>
  <c r="K404" i="6"/>
  <c r="H365" i="6"/>
  <c r="K365" i="6"/>
  <c r="B368" i="6"/>
  <c r="I367" i="6"/>
  <c r="E367" i="6"/>
  <c r="F367" i="6" s="1"/>
  <c r="C367" i="6"/>
  <c r="AA365" i="6"/>
  <c r="G366" i="6"/>
  <c r="M365" i="6"/>
  <c r="L365" i="6"/>
  <c r="R366" i="6"/>
  <c r="AC366" i="6"/>
  <c r="AB366" i="6"/>
  <c r="N364" i="6"/>
  <c r="O364" i="6" s="1"/>
  <c r="P364" i="6"/>
  <c r="Q364" i="6" s="1"/>
  <c r="B331" i="6"/>
  <c r="I330" i="6"/>
  <c r="E330" i="6"/>
  <c r="F330" i="6" s="1"/>
  <c r="C330" i="6"/>
  <c r="AC329" i="6"/>
  <c r="AB329" i="6"/>
  <c r="R329" i="6"/>
  <c r="M328" i="6"/>
  <c r="P327" i="6" s="1"/>
  <c r="Q327" i="6" s="1"/>
  <c r="L328" i="6"/>
  <c r="AD328" i="6"/>
  <c r="AA328" i="6"/>
  <c r="H328" i="6"/>
  <c r="K328" i="6"/>
  <c r="N326" i="6"/>
  <c r="O326" i="6" s="1"/>
  <c r="G288" i="6"/>
  <c r="B290" i="6"/>
  <c r="I289" i="6"/>
  <c r="E289" i="6"/>
  <c r="F289" i="6" s="1"/>
  <c r="C289" i="6"/>
  <c r="R288" i="6"/>
  <c r="AC288" i="6"/>
  <c r="AB288" i="6"/>
  <c r="AA287" i="6"/>
  <c r="N285" i="6"/>
  <c r="O285" i="6" s="1"/>
  <c r="M287" i="6"/>
  <c r="L287" i="6"/>
  <c r="H287" i="6"/>
  <c r="K287" i="6"/>
  <c r="P285" i="6"/>
  <c r="Q285" i="6" s="1"/>
  <c r="B251" i="6"/>
  <c r="I250" i="6"/>
  <c r="G250" i="6"/>
  <c r="H250" i="6" s="1"/>
  <c r="E250" i="6"/>
  <c r="F250" i="6" s="1"/>
  <c r="C250" i="6"/>
  <c r="AD247" i="6"/>
  <c r="AA248" i="6"/>
  <c r="G249" i="6"/>
  <c r="R249" i="6"/>
  <c r="AC249" i="6"/>
  <c r="AB249" i="6"/>
  <c r="M248" i="6"/>
  <c r="L248" i="6"/>
  <c r="AD248" i="6"/>
  <c r="N246" i="6"/>
  <c r="O246" i="6" s="1"/>
  <c r="H248" i="6"/>
  <c r="K248" i="6"/>
  <c r="P207" i="6"/>
  <c r="Q207" i="6" s="1"/>
  <c r="R210" i="6"/>
  <c r="AC210" i="6"/>
  <c r="AB210" i="6"/>
  <c r="K210" i="6"/>
  <c r="B212" i="6"/>
  <c r="I211" i="6"/>
  <c r="E211" i="6"/>
  <c r="F211" i="6" s="1"/>
  <c r="C211" i="6"/>
  <c r="M209" i="6"/>
  <c r="L209" i="6"/>
  <c r="AA209" i="6"/>
  <c r="H170" i="6"/>
  <c r="K170" i="6"/>
  <c r="M170" i="6"/>
  <c r="L170" i="6"/>
  <c r="N169" i="6" s="1"/>
  <c r="O169" i="6" s="1"/>
  <c r="AD170" i="6"/>
  <c r="AD169" i="6"/>
  <c r="AA170" i="6"/>
  <c r="G171" i="6"/>
  <c r="R171" i="6"/>
  <c r="AC171" i="6"/>
  <c r="AB171" i="6"/>
  <c r="B173" i="6"/>
  <c r="I172" i="6"/>
  <c r="E172" i="6"/>
  <c r="F172" i="6" s="1"/>
  <c r="C172" i="6"/>
  <c r="B136" i="6"/>
  <c r="I135" i="6"/>
  <c r="G135" i="6"/>
  <c r="E135" i="6"/>
  <c r="F135" i="6" s="1"/>
  <c r="C135" i="6"/>
  <c r="H134" i="6"/>
  <c r="M133" i="6"/>
  <c r="AD133" i="6" s="1"/>
  <c r="L133" i="6"/>
  <c r="R134" i="6"/>
  <c r="AC134" i="6"/>
  <c r="AB134" i="6"/>
  <c r="N132" i="6"/>
  <c r="O132" i="6" s="1"/>
  <c r="K134" i="6"/>
  <c r="AA133" i="6"/>
  <c r="H133" i="6"/>
  <c r="K133" i="6"/>
  <c r="P131" i="6"/>
  <c r="Q131" i="6" s="1"/>
  <c r="N131" i="6"/>
  <c r="O131" i="6" s="1"/>
  <c r="H92" i="6"/>
  <c r="K92" i="6"/>
  <c r="M92" i="6"/>
  <c r="L92" i="6"/>
  <c r="AD92" i="6" s="1"/>
  <c r="AA92" i="6"/>
  <c r="R93" i="6"/>
  <c r="AC93" i="6"/>
  <c r="AB93" i="6"/>
  <c r="K93" i="6"/>
  <c r="B95" i="6"/>
  <c r="I94" i="6"/>
  <c r="E94" i="6"/>
  <c r="F94" i="6" s="1"/>
  <c r="C94" i="6"/>
  <c r="N90" i="6"/>
  <c r="O90" i="6" s="1"/>
  <c r="P90" i="6"/>
  <c r="Q90" i="6" s="1"/>
  <c r="AD52" i="6"/>
  <c r="P52" i="6"/>
  <c r="Q52" i="6" s="1"/>
  <c r="R54" i="6"/>
  <c r="AC54" i="6"/>
  <c r="AB54" i="6"/>
  <c r="B56" i="6"/>
  <c r="I55" i="6"/>
  <c r="E55" i="6"/>
  <c r="F55" i="6" s="1"/>
  <c r="C55" i="6"/>
  <c r="M53" i="6"/>
  <c r="L53" i="6"/>
  <c r="N52" i="6" s="1"/>
  <c r="O52" i="6" s="1"/>
  <c r="H53" i="6"/>
  <c r="K53" i="6"/>
  <c r="AA53" i="6"/>
  <c r="G54" i="6"/>
  <c r="N51" i="6"/>
  <c r="O51" i="6" s="1"/>
  <c r="P51" i="6"/>
  <c r="Q51" i="6" s="1"/>
  <c r="C15" i="2"/>
  <c r="B16" i="2"/>
  <c r="G445" i="6" l="1"/>
  <c r="H444" i="6"/>
  <c r="K444" i="6"/>
  <c r="AD443" i="6"/>
  <c r="AC445" i="6"/>
  <c r="AB445" i="6"/>
  <c r="R445" i="6"/>
  <c r="E446" i="6"/>
  <c r="F446" i="6" s="1"/>
  <c r="C446" i="6"/>
  <c r="G446" i="6"/>
  <c r="B447" i="6"/>
  <c r="K446" i="6"/>
  <c r="I446" i="6"/>
  <c r="N442" i="6"/>
  <c r="O442" i="6" s="1"/>
  <c r="AA444" i="6"/>
  <c r="M444" i="6"/>
  <c r="L444" i="6"/>
  <c r="AC406" i="6"/>
  <c r="AB406" i="6"/>
  <c r="R406" i="6"/>
  <c r="AA405" i="6"/>
  <c r="M405" i="6"/>
  <c r="L405" i="6"/>
  <c r="G406" i="6"/>
  <c r="E407" i="6"/>
  <c r="F407" i="6" s="1"/>
  <c r="C407" i="6"/>
  <c r="B408" i="6"/>
  <c r="I407" i="6"/>
  <c r="H405" i="6"/>
  <c r="K405" i="6"/>
  <c r="N404" i="6"/>
  <c r="O404" i="6" s="1"/>
  <c r="P404" i="6"/>
  <c r="Q404" i="6" s="1"/>
  <c r="N403" i="6"/>
  <c r="O403" i="6" s="1"/>
  <c r="M366" i="6"/>
  <c r="L366" i="6"/>
  <c r="AD366" i="6" s="1"/>
  <c r="P365" i="6"/>
  <c r="Q365" i="6" s="1"/>
  <c r="AD365" i="6"/>
  <c r="H366" i="6"/>
  <c r="K366" i="6"/>
  <c r="G367" i="6"/>
  <c r="AC367" i="6"/>
  <c r="AB367" i="6"/>
  <c r="R367" i="6"/>
  <c r="E368" i="6"/>
  <c r="F368" i="6" s="1"/>
  <c r="C368" i="6"/>
  <c r="B369" i="6"/>
  <c r="G368" i="6"/>
  <c r="K368" i="6"/>
  <c r="I368" i="6"/>
  <c r="AA366" i="6"/>
  <c r="N365" i="6"/>
  <c r="O365" i="6" s="1"/>
  <c r="N328" i="6"/>
  <c r="O328" i="6" s="1"/>
  <c r="M329" i="6"/>
  <c r="AD329" i="6" s="1"/>
  <c r="L329" i="6"/>
  <c r="AA329" i="6"/>
  <c r="P328" i="6"/>
  <c r="Q328" i="6" s="1"/>
  <c r="G330" i="6"/>
  <c r="R330" i="6"/>
  <c r="AC330" i="6"/>
  <c r="AB330" i="6"/>
  <c r="E331" i="6"/>
  <c r="F331" i="6" s="1"/>
  <c r="C331" i="6"/>
  <c r="I331" i="6"/>
  <c r="B332" i="6"/>
  <c r="N327" i="6"/>
  <c r="O327" i="6" s="1"/>
  <c r="N286" i="6"/>
  <c r="O286" i="6" s="1"/>
  <c r="P286" i="6"/>
  <c r="Q286" i="6" s="1"/>
  <c r="AD287" i="6"/>
  <c r="AA288" i="6"/>
  <c r="M288" i="6"/>
  <c r="L288" i="6"/>
  <c r="AD288" i="6"/>
  <c r="G289" i="6"/>
  <c r="AC289" i="6"/>
  <c r="AB289" i="6"/>
  <c r="R289" i="6"/>
  <c r="E290" i="6"/>
  <c r="F290" i="6" s="1"/>
  <c r="C290" i="6"/>
  <c r="B291" i="6"/>
  <c r="I290" i="6"/>
  <c r="G290" i="6"/>
  <c r="H290" i="6" s="1"/>
  <c r="H288" i="6"/>
  <c r="K288" i="6"/>
  <c r="AA249" i="6"/>
  <c r="N248" i="6"/>
  <c r="O248" i="6" s="1"/>
  <c r="M249" i="6"/>
  <c r="L249" i="6"/>
  <c r="AD249" i="6"/>
  <c r="H249" i="6"/>
  <c r="K249" i="6"/>
  <c r="K250" i="6"/>
  <c r="P248" i="6"/>
  <c r="Q248" i="6" s="1"/>
  <c r="AC250" i="6"/>
  <c r="AB250" i="6"/>
  <c r="R250" i="6"/>
  <c r="E251" i="6"/>
  <c r="F251" i="6" s="1"/>
  <c r="C251" i="6"/>
  <c r="B252" i="6"/>
  <c r="I251" i="6"/>
  <c r="P247" i="6"/>
  <c r="Q247" i="6" s="1"/>
  <c r="N247" i="6"/>
  <c r="O247" i="6" s="1"/>
  <c r="AC211" i="6"/>
  <c r="AB211" i="6"/>
  <c r="R211" i="6"/>
  <c r="AD209" i="6"/>
  <c r="E212" i="6"/>
  <c r="F212" i="6" s="1"/>
  <c r="C212" i="6"/>
  <c r="B213" i="6"/>
  <c r="G212" i="6"/>
  <c r="I212" i="6"/>
  <c r="N208" i="6"/>
  <c r="O208" i="6" s="1"/>
  <c r="AA210" i="6"/>
  <c r="G211" i="6"/>
  <c r="M210" i="6"/>
  <c r="L210" i="6"/>
  <c r="AD210" i="6" s="1"/>
  <c r="P208" i="6"/>
  <c r="Q208" i="6" s="1"/>
  <c r="E173" i="6"/>
  <c r="F173" i="6" s="1"/>
  <c r="C173" i="6"/>
  <c r="B174" i="6"/>
  <c r="I173" i="6"/>
  <c r="G173" i="6"/>
  <c r="AA171" i="6"/>
  <c r="M171" i="6"/>
  <c r="L171" i="6"/>
  <c r="AD171" i="6"/>
  <c r="H171" i="6"/>
  <c r="K171" i="6"/>
  <c r="G172" i="6"/>
  <c r="AC172" i="6"/>
  <c r="AB172" i="6"/>
  <c r="R172" i="6"/>
  <c r="N170" i="6"/>
  <c r="O170" i="6" s="1"/>
  <c r="P170" i="6"/>
  <c r="Q170" i="6" s="1"/>
  <c r="P169" i="6"/>
  <c r="Q169" i="6" s="1"/>
  <c r="AA134" i="6"/>
  <c r="N133" i="6"/>
  <c r="O133" i="6" s="1"/>
  <c r="M134" i="6"/>
  <c r="AD134" i="6" s="1"/>
  <c r="L134" i="6"/>
  <c r="H135" i="6"/>
  <c r="R135" i="6"/>
  <c r="AC135" i="6"/>
  <c r="AB135" i="6"/>
  <c r="K135" i="6"/>
  <c r="E136" i="6"/>
  <c r="F136" i="6" s="1"/>
  <c r="C136" i="6"/>
  <c r="B137" i="6"/>
  <c r="I136" i="6"/>
  <c r="P132" i="6"/>
  <c r="Q132" i="6" s="1"/>
  <c r="E95" i="6"/>
  <c r="F95" i="6" s="1"/>
  <c r="C95" i="6"/>
  <c r="B96" i="6"/>
  <c r="I95" i="6"/>
  <c r="G95" i="6"/>
  <c r="H95" i="6" s="1"/>
  <c r="G94" i="6"/>
  <c r="AA93" i="6"/>
  <c r="AC94" i="6"/>
  <c r="AB94" i="6"/>
  <c r="R94" i="6"/>
  <c r="M93" i="6"/>
  <c r="P92" i="6" s="1"/>
  <c r="Q92" i="6" s="1"/>
  <c r="L93" i="6"/>
  <c r="N92" i="6"/>
  <c r="O92" i="6" s="1"/>
  <c r="P91" i="6"/>
  <c r="Q91" i="6" s="1"/>
  <c r="N91" i="6"/>
  <c r="O91" i="6" s="1"/>
  <c r="AD53" i="6"/>
  <c r="G55" i="6"/>
  <c r="AC55" i="6"/>
  <c r="AB55" i="6"/>
  <c r="R55" i="6"/>
  <c r="H54" i="6"/>
  <c r="K54" i="6"/>
  <c r="E56" i="6"/>
  <c r="F56" i="6" s="1"/>
  <c r="C56" i="6"/>
  <c r="B57" i="6"/>
  <c r="I56" i="6"/>
  <c r="G56" i="6"/>
  <c r="AA54" i="6"/>
  <c r="M54" i="6"/>
  <c r="L54" i="6"/>
  <c r="N53" i="6"/>
  <c r="O53" i="6" s="1"/>
  <c r="C16" i="2"/>
  <c r="B17" i="2"/>
  <c r="P443" i="6" l="1"/>
  <c r="Q443" i="6" s="1"/>
  <c r="R446" i="6"/>
  <c r="AB446" i="6"/>
  <c r="AC446" i="6"/>
  <c r="H446" i="6"/>
  <c r="M445" i="6"/>
  <c r="L445" i="6"/>
  <c r="AD445" i="6"/>
  <c r="AA445" i="6"/>
  <c r="B448" i="6"/>
  <c r="I447" i="6"/>
  <c r="E447" i="6"/>
  <c r="F447" i="6" s="1"/>
  <c r="C447" i="6"/>
  <c r="H445" i="6"/>
  <c r="K445" i="6"/>
  <c r="AD444" i="6"/>
  <c r="N443" i="6"/>
  <c r="O443" i="6" s="1"/>
  <c r="G407" i="6"/>
  <c r="B409" i="6"/>
  <c r="I408" i="6"/>
  <c r="E408" i="6"/>
  <c r="F408" i="6" s="1"/>
  <c r="C408" i="6"/>
  <c r="AD405" i="6"/>
  <c r="R407" i="6"/>
  <c r="AC407" i="6"/>
  <c r="AB407" i="6"/>
  <c r="H406" i="6"/>
  <c r="K406" i="6"/>
  <c r="M406" i="6"/>
  <c r="L406" i="6"/>
  <c r="AD406" i="6"/>
  <c r="AA406" i="6"/>
  <c r="R368" i="6"/>
  <c r="AB368" i="6"/>
  <c r="AC368" i="6"/>
  <c r="H368" i="6"/>
  <c r="H367" i="6"/>
  <c r="K367" i="6"/>
  <c r="M367" i="6"/>
  <c r="AD367" i="6" s="1"/>
  <c r="L367" i="6"/>
  <c r="B370" i="6"/>
  <c r="I369" i="6"/>
  <c r="E369" i="6"/>
  <c r="F369" i="6" s="1"/>
  <c r="C369" i="6"/>
  <c r="AA367" i="6"/>
  <c r="N366" i="6"/>
  <c r="O366" i="6" s="1"/>
  <c r="P366" i="6"/>
  <c r="Q366" i="6" s="1"/>
  <c r="B333" i="6"/>
  <c r="I332" i="6"/>
  <c r="E332" i="6"/>
  <c r="F332" i="6" s="1"/>
  <c r="C332" i="6"/>
  <c r="G331" i="6"/>
  <c r="H330" i="6"/>
  <c r="K330" i="6"/>
  <c r="AA330" i="6"/>
  <c r="M330" i="6"/>
  <c r="L330" i="6"/>
  <c r="AD330" i="6"/>
  <c r="N329" i="6"/>
  <c r="O329" i="6" s="1"/>
  <c r="P329" i="6"/>
  <c r="Q329" i="6" s="1"/>
  <c r="AC331" i="6"/>
  <c r="AB331" i="6"/>
  <c r="R331" i="6"/>
  <c r="R290" i="6"/>
  <c r="AC290" i="6"/>
  <c r="AB290" i="6"/>
  <c r="K290" i="6"/>
  <c r="AA289" i="6"/>
  <c r="H289" i="6"/>
  <c r="K289" i="6"/>
  <c r="B292" i="6"/>
  <c r="I291" i="6"/>
  <c r="E291" i="6"/>
  <c r="F291" i="6" s="1"/>
  <c r="C291" i="6"/>
  <c r="M289" i="6"/>
  <c r="L289" i="6"/>
  <c r="P287" i="6"/>
  <c r="Q287" i="6" s="1"/>
  <c r="N287" i="6"/>
  <c r="O287" i="6" s="1"/>
  <c r="B253" i="6"/>
  <c r="I252" i="6"/>
  <c r="E252" i="6"/>
  <c r="F252" i="6" s="1"/>
  <c r="C252" i="6"/>
  <c r="R251" i="6"/>
  <c r="AC251" i="6"/>
  <c r="AB251" i="6"/>
  <c r="M250" i="6"/>
  <c r="L250" i="6"/>
  <c r="AD250" i="6"/>
  <c r="AA250" i="6"/>
  <c r="N249" i="6"/>
  <c r="O249" i="6" s="1"/>
  <c r="G251" i="6"/>
  <c r="P249" i="6"/>
  <c r="Q249" i="6" s="1"/>
  <c r="H211" i="6"/>
  <c r="K211" i="6"/>
  <c r="R212" i="6"/>
  <c r="AB212" i="6"/>
  <c r="AC212" i="6"/>
  <c r="H212" i="6"/>
  <c r="K212" i="6"/>
  <c r="M211" i="6"/>
  <c r="L211" i="6"/>
  <c r="AD211" i="6" s="1"/>
  <c r="B214" i="6"/>
  <c r="I213" i="6"/>
  <c r="E213" i="6"/>
  <c r="F213" i="6" s="1"/>
  <c r="C213" i="6"/>
  <c r="AA211" i="6"/>
  <c r="P209" i="6"/>
  <c r="Q209" i="6" s="1"/>
  <c r="N209" i="6"/>
  <c r="O209" i="6" s="1"/>
  <c r="M172" i="6"/>
  <c r="L172" i="6"/>
  <c r="AD172" i="6" s="1"/>
  <c r="AA172" i="6"/>
  <c r="H172" i="6"/>
  <c r="K172" i="6"/>
  <c r="N171" i="6"/>
  <c r="O171" i="6" s="1"/>
  <c r="P171" i="6"/>
  <c r="Q171" i="6" s="1"/>
  <c r="H173" i="6"/>
  <c r="R173" i="6"/>
  <c r="AC173" i="6"/>
  <c r="AB173" i="6"/>
  <c r="K173" i="6"/>
  <c r="B175" i="6"/>
  <c r="I174" i="6"/>
  <c r="G174" i="6"/>
  <c r="H174" i="6" s="1"/>
  <c r="E174" i="6"/>
  <c r="F174" i="6" s="1"/>
  <c r="C174" i="6"/>
  <c r="AC136" i="6"/>
  <c r="AB136" i="6"/>
  <c r="R136" i="6"/>
  <c r="AA135" i="6"/>
  <c r="M135" i="6"/>
  <c r="L135" i="6"/>
  <c r="AD135" i="6" s="1"/>
  <c r="B138" i="6"/>
  <c r="I137" i="6"/>
  <c r="E137" i="6"/>
  <c r="F137" i="6" s="1"/>
  <c r="C137" i="6"/>
  <c r="G136" i="6"/>
  <c r="N134" i="6"/>
  <c r="O134" i="6" s="1"/>
  <c r="P134" i="6"/>
  <c r="Q134" i="6" s="1"/>
  <c r="P133" i="6"/>
  <c r="Q133" i="6" s="1"/>
  <c r="AA94" i="6"/>
  <c r="H94" i="6"/>
  <c r="K94" i="6"/>
  <c r="AD93" i="6"/>
  <c r="M94" i="6"/>
  <c r="L94" i="6"/>
  <c r="AD94" i="6"/>
  <c r="R95" i="6"/>
  <c r="AC95" i="6"/>
  <c r="AB95" i="6"/>
  <c r="K95" i="6"/>
  <c r="B97" i="6"/>
  <c r="I96" i="6"/>
  <c r="E96" i="6"/>
  <c r="F96" i="6" s="1"/>
  <c r="C96" i="6"/>
  <c r="AD54" i="6"/>
  <c r="H56" i="6"/>
  <c r="K56" i="6"/>
  <c r="B58" i="6"/>
  <c r="I57" i="6"/>
  <c r="E57" i="6"/>
  <c r="F57" i="6" s="1"/>
  <c r="C57" i="6"/>
  <c r="R56" i="6"/>
  <c r="AC56" i="6"/>
  <c r="AB56" i="6"/>
  <c r="P53" i="6"/>
  <c r="Q53" i="6" s="1"/>
  <c r="M55" i="6"/>
  <c r="AD55" i="6" s="1"/>
  <c r="L55" i="6"/>
  <c r="N54" i="6" s="1"/>
  <c r="O54" i="6" s="1"/>
  <c r="AA55" i="6"/>
  <c r="H55" i="6"/>
  <c r="K55" i="6"/>
  <c r="C17" i="2"/>
  <c r="B18" i="2"/>
  <c r="G447" i="6" l="1"/>
  <c r="R447" i="6"/>
  <c r="AC447" i="6"/>
  <c r="AB447" i="6"/>
  <c r="E448" i="6"/>
  <c r="F448" i="6" s="1"/>
  <c r="C448" i="6"/>
  <c r="I448" i="6"/>
  <c r="B449" i="6"/>
  <c r="AA446" i="6"/>
  <c r="M446" i="6"/>
  <c r="L446" i="6"/>
  <c r="N445" i="6" s="1"/>
  <c r="O445" i="6" s="1"/>
  <c r="P444" i="6"/>
  <c r="Q444" i="6" s="1"/>
  <c r="N444" i="6"/>
  <c r="O444" i="6" s="1"/>
  <c r="M407" i="6"/>
  <c r="L407" i="6"/>
  <c r="AD407" i="6" s="1"/>
  <c r="P406" i="6"/>
  <c r="Q406" i="6" s="1"/>
  <c r="P405" i="6"/>
  <c r="Q405" i="6" s="1"/>
  <c r="AA407" i="6"/>
  <c r="G408" i="6"/>
  <c r="R408" i="6"/>
  <c r="AC408" i="6"/>
  <c r="AB408" i="6"/>
  <c r="E409" i="6"/>
  <c r="F409" i="6" s="1"/>
  <c r="C409" i="6"/>
  <c r="B410" i="6"/>
  <c r="I409" i="6"/>
  <c r="N406" i="6"/>
  <c r="O406" i="6" s="1"/>
  <c r="N405" i="6"/>
  <c r="O405" i="6" s="1"/>
  <c r="H407" i="6"/>
  <c r="K407" i="6"/>
  <c r="G369" i="6"/>
  <c r="E370" i="6"/>
  <c r="F370" i="6" s="1"/>
  <c r="C370" i="6"/>
  <c r="I370" i="6"/>
  <c r="B371" i="6"/>
  <c r="R369" i="6"/>
  <c r="AC369" i="6"/>
  <c r="AB369" i="6"/>
  <c r="AA368" i="6"/>
  <c r="M368" i="6"/>
  <c r="L368" i="6"/>
  <c r="M331" i="6"/>
  <c r="L331" i="6"/>
  <c r="AA331" i="6"/>
  <c r="N330" i="6"/>
  <c r="O330" i="6" s="1"/>
  <c r="P330" i="6"/>
  <c r="Q330" i="6" s="1"/>
  <c r="H331" i="6"/>
  <c r="K331" i="6"/>
  <c r="G332" i="6"/>
  <c r="R332" i="6"/>
  <c r="AC332" i="6"/>
  <c r="AB332" i="6"/>
  <c r="I333" i="6"/>
  <c r="E333" i="6"/>
  <c r="F333" i="6" s="1"/>
  <c r="C333" i="6"/>
  <c r="B334" i="6"/>
  <c r="AD289" i="6"/>
  <c r="G291" i="6"/>
  <c r="P288" i="6"/>
  <c r="Q288" i="6" s="1"/>
  <c r="N288" i="6"/>
  <c r="O288" i="6" s="1"/>
  <c r="R291" i="6"/>
  <c r="AC291" i="6"/>
  <c r="AB291" i="6"/>
  <c r="E292" i="6"/>
  <c r="F292" i="6" s="1"/>
  <c r="C292" i="6"/>
  <c r="B293" i="6"/>
  <c r="I292" i="6"/>
  <c r="AA290" i="6"/>
  <c r="M290" i="6"/>
  <c r="L290" i="6"/>
  <c r="AD290" i="6"/>
  <c r="H251" i="6"/>
  <c r="K251" i="6"/>
  <c r="AA251" i="6"/>
  <c r="M251" i="6"/>
  <c r="L251" i="6"/>
  <c r="AD251" i="6"/>
  <c r="N250" i="6"/>
  <c r="O250" i="6" s="1"/>
  <c r="P250" i="6"/>
  <c r="Q250" i="6" s="1"/>
  <c r="G252" i="6"/>
  <c r="R252" i="6"/>
  <c r="AC252" i="6"/>
  <c r="AB252" i="6"/>
  <c r="E253" i="6"/>
  <c r="F253" i="6" s="1"/>
  <c r="C253" i="6"/>
  <c r="B254" i="6"/>
  <c r="I253" i="6"/>
  <c r="R213" i="6"/>
  <c r="AC213" i="6"/>
  <c r="AB213" i="6"/>
  <c r="N210" i="6"/>
  <c r="O210" i="6" s="1"/>
  <c r="G213" i="6"/>
  <c r="AA212" i="6"/>
  <c r="M212" i="6"/>
  <c r="L212" i="6"/>
  <c r="N211" i="6" s="1"/>
  <c r="O211" i="6" s="1"/>
  <c r="AD212" i="6"/>
  <c r="E214" i="6"/>
  <c r="F214" i="6" s="1"/>
  <c r="C214" i="6"/>
  <c r="B215" i="6"/>
  <c r="I214" i="6"/>
  <c r="P210" i="6"/>
  <c r="Q210" i="6" s="1"/>
  <c r="AA173" i="6"/>
  <c r="E175" i="6"/>
  <c r="F175" i="6" s="1"/>
  <c r="C175" i="6"/>
  <c r="B176" i="6"/>
  <c r="I175" i="6"/>
  <c r="M173" i="6"/>
  <c r="L173" i="6"/>
  <c r="AD173" i="6" s="1"/>
  <c r="R174" i="6"/>
  <c r="AC174" i="6"/>
  <c r="AB174" i="6"/>
  <c r="K174" i="6"/>
  <c r="N172" i="6"/>
  <c r="O172" i="6" s="1"/>
  <c r="P172" i="6"/>
  <c r="Q172" i="6" s="1"/>
  <c r="R137" i="6"/>
  <c r="AC137" i="6"/>
  <c r="AB137" i="6"/>
  <c r="H136" i="6"/>
  <c r="K136" i="6"/>
  <c r="G137" i="6"/>
  <c r="I138" i="6"/>
  <c r="G138" i="6"/>
  <c r="H138" i="6" s="1"/>
  <c r="E138" i="6"/>
  <c r="F138" i="6" s="1"/>
  <c r="C138" i="6"/>
  <c r="B139" i="6"/>
  <c r="M136" i="6"/>
  <c r="L136" i="6"/>
  <c r="AD136" i="6"/>
  <c r="AA136" i="6"/>
  <c r="G96" i="6"/>
  <c r="E97" i="6"/>
  <c r="F97" i="6" s="1"/>
  <c r="C97" i="6"/>
  <c r="B98" i="6"/>
  <c r="I97" i="6"/>
  <c r="AA95" i="6"/>
  <c r="M95" i="6"/>
  <c r="L95" i="6"/>
  <c r="AD95" i="6"/>
  <c r="N94" i="6"/>
  <c r="O94" i="6" s="1"/>
  <c r="P94" i="6"/>
  <c r="Q94" i="6" s="1"/>
  <c r="R96" i="6"/>
  <c r="AC96" i="6"/>
  <c r="AB96" i="6"/>
  <c r="N93" i="6"/>
  <c r="O93" i="6" s="1"/>
  <c r="P93" i="6"/>
  <c r="Q93" i="6" s="1"/>
  <c r="G57" i="6"/>
  <c r="AA56" i="6"/>
  <c r="M56" i="6"/>
  <c r="L56" i="6"/>
  <c r="P54" i="6"/>
  <c r="Q54" i="6" s="1"/>
  <c r="H57" i="6"/>
  <c r="R57" i="6"/>
  <c r="AC57" i="6"/>
  <c r="AB57" i="6"/>
  <c r="K57" i="6"/>
  <c r="E58" i="6"/>
  <c r="F58" i="6" s="1"/>
  <c r="C58" i="6"/>
  <c r="B59" i="6"/>
  <c r="I58" i="6"/>
  <c r="C18" i="2"/>
  <c r="B19" i="2"/>
  <c r="AD446" i="6" l="1"/>
  <c r="B450" i="6"/>
  <c r="I449" i="6"/>
  <c r="E449" i="6"/>
  <c r="F449" i="6" s="1"/>
  <c r="C449" i="6"/>
  <c r="AC448" i="6"/>
  <c r="AB448" i="6"/>
  <c r="R448" i="6"/>
  <c r="G448" i="6"/>
  <c r="AA447" i="6"/>
  <c r="M447" i="6"/>
  <c r="L447" i="6"/>
  <c r="N446" i="6" s="1"/>
  <c r="O446" i="6" s="1"/>
  <c r="P445" i="6"/>
  <c r="Q445" i="6" s="1"/>
  <c r="H447" i="6"/>
  <c r="K447" i="6"/>
  <c r="AC409" i="6"/>
  <c r="AB409" i="6"/>
  <c r="R409" i="6"/>
  <c r="G409" i="6"/>
  <c r="AA408" i="6"/>
  <c r="M408" i="6"/>
  <c r="AD408" i="6" s="1"/>
  <c r="L408" i="6"/>
  <c r="H408" i="6"/>
  <c r="K408" i="6"/>
  <c r="B411" i="6"/>
  <c r="I410" i="6"/>
  <c r="E410" i="6"/>
  <c r="F410" i="6" s="1"/>
  <c r="C410" i="6"/>
  <c r="N407" i="6"/>
  <c r="O407" i="6" s="1"/>
  <c r="P407" i="6"/>
  <c r="Q407" i="6" s="1"/>
  <c r="AA369" i="6"/>
  <c r="M369" i="6"/>
  <c r="L369" i="6"/>
  <c r="AD369" i="6" s="1"/>
  <c r="P367" i="6"/>
  <c r="Q367" i="6" s="1"/>
  <c r="N367" i="6"/>
  <c r="O367" i="6" s="1"/>
  <c r="B372" i="6"/>
  <c r="I371" i="6"/>
  <c r="E371" i="6"/>
  <c r="F371" i="6" s="1"/>
  <c r="C371" i="6"/>
  <c r="AD368" i="6"/>
  <c r="AC370" i="6"/>
  <c r="AB370" i="6"/>
  <c r="R370" i="6"/>
  <c r="G370" i="6"/>
  <c r="H369" i="6"/>
  <c r="K369" i="6"/>
  <c r="C334" i="6"/>
  <c r="B335" i="6"/>
  <c r="I334" i="6"/>
  <c r="E334" i="6"/>
  <c r="F334" i="6" s="1"/>
  <c r="G333" i="6"/>
  <c r="AA332" i="6"/>
  <c r="AC333" i="6"/>
  <c r="AB333" i="6"/>
  <c r="R333" i="6"/>
  <c r="M332" i="6"/>
  <c r="P331" i="6" s="1"/>
  <c r="Q331" i="6" s="1"/>
  <c r="L332" i="6"/>
  <c r="N331" i="6"/>
  <c r="O331" i="6" s="1"/>
  <c r="H332" i="6"/>
  <c r="K332" i="6"/>
  <c r="AD331" i="6"/>
  <c r="AA291" i="6"/>
  <c r="AC292" i="6"/>
  <c r="AB292" i="6"/>
  <c r="R292" i="6"/>
  <c r="B294" i="6"/>
  <c r="I293" i="6"/>
  <c r="E293" i="6"/>
  <c r="F293" i="6" s="1"/>
  <c r="C293" i="6"/>
  <c r="G292" i="6"/>
  <c r="M291" i="6"/>
  <c r="L291" i="6"/>
  <c r="H291" i="6"/>
  <c r="K291" i="6"/>
  <c r="P289" i="6"/>
  <c r="Q289" i="6" s="1"/>
  <c r="N289" i="6"/>
  <c r="O289" i="6" s="1"/>
  <c r="AC253" i="6"/>
  <c r="AB253" i="6"/>
  <c r="R253" i="6"/>
  <c r="B255" i="6"/>
  <c r="I254" i="6"/>
  <c r="G254" i="6"/>
  <c r="H254" i="6" s="1"/>
  <c r="E254" i="6"/>
  <c r="F254" i="6" s="1"/>
  <c r="C254" i="6"/>
  <c r="H252" i="6"/>
  <c r="K252" i="6"/>
  <c r="G253" i="6"/>
  <c r="AA252" i="6"/>
  <c r="M252" i="6"/>
  <c r="L252" i="6"/>
  <c r="N251" i="6"/>
  <c r="O251" i="6" s="1"/>
  <c r="B216" i="6"/>
  <c r="I215" i="6"/>
  <c r="E215" i="6"/>
  <c r="F215" i="6" s="1"/>
  <c r="C215" i="6"/>
  <c r="H213" i="6"/>
  <c r="K213" i="6"/>
  <c r="AC214" i="6"/>
  <c r="AB214" i="6"/>
  <c r="AA213" i="6"/>
  <c r="G214" i="6"/>
  <c r="P211" i="6"/>
  <c r="Q211" i="6" s="1"/>
  <c r="M213" i="6"/>
  <c r="L213" i="6"/>
  <c r="AA174" i="6"/>
  <c r="M174" i="6"/>
  <c r="L174" i="6"/>
  <c r="AD174" i="6" s="1"/>
  <c r="N173" i="6"/>
  <c r="O173" i="6" s="1"/>
  <c r="P173" i="6"/>
  <c r="Q173" i="6" s="1"/>
  <c r="AC175" i="6"/>
  <c r="AB175" i="6"/>
  <c r="R175" i="6"/>
  <c r="B177" i="6"/>
  <c r="I176" i="6"/>
  <c r="E176" i="6"/>
  <c r="F176" i="6" s="1"/>
  <c r="C176" i="6"/>
  <c r="G175" i="6"/>
  <c r="AC138" i="6"/>
  <c r="AB138" i="6"/>
  <c r="R138" i="6"/>
  <c r="K138" i="6"/>
  <c r="P135" i="6"/>
  <c r="Q135" i="6" s="1"/>
  <c r="N135" i="6"/>
  <c r="O135" i="6" s="1"/>
  <c r="B140" i="6"/>
  <c r="I139" i="6"/>
  <c r="G139" i="6"/>
  <c r="H139" i="6" s="1"/>
  <c r="E139" i="6"/>
  <c r="F139" i="6" s="1"/>
  <c r="C139" i="6"/>
  <c r="H137" i="6"/>
  <c r="K137" i="6"/>
  <c r="AA137" i="6"/>
  <c r="M137" i="6"/>
  <c r="L137" i="6"/>
  <c r="N136" i="6" s="1"/>
  <c r="O136" i="6" s="1"/>
  <c r="AA96" i="6"/>
  <c r="M96" i="6"/>
  <c r="L96" i="6"/>
  <c r="AD96" i="6" s="1"/>
  <c r="P95" i="6"/>
  <c r="Q95" i="6" s="1"/>
  <c r="N95" i="6"/>
  <c r="O95" i="6" s="1"/>
  <c r="AC97" i="6"/>
  <c r="AB97" i="6"/>
  <c r="R97" i="6"/>
  <c r="B99" i="6"/>
  <c r="I98" i="6"/>
  <c r="E98" i="6"/>
  <c r="F98" i="6" s="1"/>
  <c r="C98" i="6"/>
  <c r="G97" i="6"/>
  <c r="H96" i="6"/>
  <c r="K96" i="6"/>
  <c r="AD56" i="6"/>
  <c r="B60" i="6"/>
  <c r="I59" i="6"/>
  <c r="E59" i="6"/>
  <c r="F59" i="6" s="1"/>
  <c r="C59" i="6"/>
  <c r="G58" i="6"/>
  <c r="P55" i="6"/>
  <c r="Q55" i="6" s="1"/>
  <c r="N55" i="6"/>
  <c r="O55" i="6" s="1"/>
  <c r="AA57" i="6"/>
  <c r="AC58" i="6"/>
  <c r="AB58" i="6"/>
  <c r="R58" i="6"/>
  <c r="M57" i="6"/>
  <c r="P56" i="6" s="1"/>
  <c r="Q56" i="6" s="1"/>
  <c r="L57" i="6"/>
  <c r="C19" i="2"/>
  <c r="B20" i="2"/>
  <c r="AD447" i="6" l="1"/>
  <c r="H448" i="6"/>
  <c r="K448" i="6"/>
  <c r="M448" i="6"/>
  <c r="L448" i="6"/>
  <c r="AA448" i="6"/>
  <c r="G449" i="6"/>
  <c r="R449" i="6"/>
  <c r="AC449" i="6"/>
  <c r="AB449" i="6"/>
  <c r="I450" i="6"/>
  <c r="E450" i="6"/>
  <c r="F450" i="6" s="1"/>
  <c r="C450" i="6"/>
  <c r="B451" i="6"/>
  <c r="P446" i="6"/>
  <c r="Q446" i="6" s="1"/>
  <c r="R410" i="6"/>
  <c r="AC410" i="6"/>
  <c r="AB410" i="6"/>
  <c r="I411" i="6"/>
  <c r="G411" i="6"/>
  <c r="H411" i="6" s="1"/>
  <c r="E411" i="6"/>
  <c r="F411" i="6" s="1"/>
  <c r="C411" i="6"/>
  <c r="B412" i="6"/>
  <c r="G410" i="6"/>
  <c r="H409" i="6"/>
  <c r="K409" i="6"/>
  <c r="M409" i="6"/>
  <c r="L409" i="6"/>
  <c r="AD409" i="6" s="1"/>
  <c r="AA409" i="6"/>
  <c r="H370" i="6"/>
  <c r="K370" i="6"/>
  <c r="AA370" i="6"/>
  <c r="M370" i="6"/>
  <c r="L370" i="6"/>
  <c r="I372" i="6"/>
  <c r="E372" i="6"/>
  <c r="F372" i="6" s="1"/>
  <c r="B373" i="6"/>
  <c r="C372" i="6"/>
  <c r="G371" i="6"/>
  <c r="N369" i="6"/>
  <c r="O369" i="6" s="1"/>
  <c r="P369" i="6"/>
  <c r="Q369" i="6" s="1"/>
  <c r="R371" i="6"/>
  <c r="AC371" i="6"/>
  <c r="AB371" i="6"/>
  <c r="P368" i="6"/>
  <c r="Q368" i="6" s="1"/>
  <c r="N368" i="6"/>
  <c r="O368" i="6" s="1"/>
  <c r="AD332" i="6"/>
  <c r="AA333" i="6"/>
  <c r="M333" i="6"/>
  <c r="L333" i="6"/>
  <c r="G334" i="6"/>
  <c r="R334" i="6"/>
  <c r="AC334" i="6"/>
  <c r="AB334" i="6"/>
  <c r="H333" i="6"/>
  <c r="K333" i="6"/>
  <c r="P332" i="6"/>
  <c r="Q332" i="6" s="1"/>
  <c r="B336" i="6"/>
  <c r="I335" i="6"/>
  <c r="E335" i="6"/>
  <c r="F335" i="6" s="1"/>
  <c r="C335" i="6"/>
  <c r="G293" i="6"/>
  <c r="I294" i="6"/>
  <c r="E294" i="6"/>
  <c r="F294" i="6" s="1"/>
  <c r="C294" i="6"/>
  <c r="B295" i="6"/>
  <c r="AA292" i="6"/>
  <c r="H292" i="6"/>
  <c r="K292" i="6"/>
  <c r="AD291" i="6"/>
  <c r="R293" i="6"/>
  <c r="AC293" i="6"/>
  <c r="AB293" i="6"/>
  <c r="M292" i="6"/>
  <c r="L292" i="6"/>
  <c r="AD292" i="6"/>
  <c r="N290" i="6"/>
  <c r="O290" i="6" s="1"/>
  <c r="P290" i="6"/>
  <c r="Q290" i="6" s="1"/>
  <c r="AD252" i="6"/>
  <c r="I255" i="6"/>
  <c r="E255" i="6"/>
  <c r="F255" i="6" s="1"/>
  <c r="C255" i="6"/>
  <c r="B256" i="6"/>
  <c r="H253" i="6"/>
  <c r="K253" i="6"/>
  <c r="P251" i="6"/>
  <c r="Q251" i="6" s="1"/>
  <c r="R254" i="6"/>
  <c r="AC254" i="6"/>
  <c r="AB254" i="6"/>
  <c r="K254" i="6"/>
  <c r="M253" i="6"/>
  <c r="L253" i="6"/>
  <c r="AA253" i="6"/>
  <c r="H214" i="6"/>
  <c r="K214" i="6"/>
  <c r="N212" i="6"/>
  <c r="O212" i="6" s="1"/>
  <c r="G215" i="6"/>
  <c r="R215" i="6"/>
  <c r="AC215" i="6"/>
  <c r="AB215" i="6"/>
  <c r="AD213" i="6"/>
  <c r="R214" i="6"/>
  <c r="AA214" i="6"/>
  <c r="P212" i="6"/>
  <c r="Q212" i="6" s="1"/>
  <c r="I216" i="6"/>
  <c r="E216" i="6"/>
  <c r="F216" i="6" s="1"/>
  <c r="C216" i="6"/>
  <c r="B217" i="6"/>
  <c r="H175" i="6"/>
  <c r="K175" i="6"/>
  <c r="G176" i="6"/>
  <c r="R176" i="6"/>
  <c r="AC176" i="6"/>
  <c r="AB176" i="6"/>
  <c r="I177" i="6"/>
  <c r="E177" i="6"/>
  <c r="F177" i="6" s="1"/>
  <c r="C177" i="6"/>
  <c r="B178" i="6"/>
  <c r="M175" i="6"/>
  <c r="AD175" i="6" s="1"/>
  <c r="L175" i="6"/>
  <c r="AA175" i="6"/>
  <c r="N174" i="6"/>
  <c r="O174" i="6" s="1"/>
  <c r="R139" i="6"/>
  <c r="AC139" i="6"/>
  <c r="AB139" i="6"/>
  <c r="K139" i="6"/>
  <c r="B141" i="6"/>
  <c r="I140" i="6"/>
  <c r="E140" i="6"/>
  <c r="F140" i="6" s="1"/>
  <c r="C140" i="6"/>
  <c r="P136" i="6"/>
  <c r="Q136" i="6" s="1"/>
  <c r="M138" i="6"/>
  <c r="L138" i="6"/>
  <c r="AD138" i="6"/>
  <c r="N137" i="6"/>
  <c r="O137" i="6" s="1"/>
  <c r="AA138" i="6"/>
  <c r="AD137" i="6"/>
  <c r="G98" i="6"/>
  <c r="AA97" i="6"/>
  <c r="H97" i="6"/>
  <c r="K97" i="6"/>
  <c r="R98" i="6"/>
  <c r="AC98" i="6"/>
  <c r="AB98" i="6"/>
  <c r="I99" i="6"/>
  <c r="E99" i="6"/>
  <c r="F99" i="6" s="1"/>
  <c r="C99" i="6"/>
  <c r="B100" i="6"/>
  <c r="M97" i="6"/>
  <c r="L97" i="6"/>
  <c r="N96" i="6" s="1"/>
  <c r="O96" i="6" s="1"/>
  <c r="AD57" i="6"/>
  <c r="H58" i="6"/>
  <c r="K58" i="6"/>
  <c r="M58" i="6"/>
  <c r="P57" i="6" s="1"/>
  <c r="Q57" i="6" s="1"/>
  <c r="L58" i="6"/>
  <c r="AD58" i="6"/>
  <c r="AA58" i="6"/>
  <c r="N56" i="6"/>
  <c r="O56" i="6" s="1"/>
  <c r="G59" i="6"/>
  <c r="R59" i="6"/>
  <c r="AC59" i="6"/>
  <c r="AB59" i="6"/>
  <c r="I60" i="6"/>
  <c r="E60" i="6"/>
  <c r="F60" i="6" s="1"/>
  <c r="C60" i="6"/>
  <c r="B61" i="6"/>
  <c r="C20" i="2"/>
  <c r="B21" i="2"/>
  <c r="G450" i="6" l="1"/>
  <c r="AC450" i="6"/>
  <c r="AB450" i="6"/>
  <c r="R450" i="6"/>
  <c r="AA449" i="6"/>
  <c r="M449" i="6"/>
  <c r="L449" i="6"/>
  <c r="AD449" i="6"/>
  <c r="H449" i="6"/>
  <c r="K449" i="6"/>
  <c r="N448" i="6"/>
  <c r="O448" i="6" s="1"/>
  <c r="P448" i="6"/>
  <c r="Q448" i="6" s="1"/>
  <c r="AD448" i="6"/>
  <c r="B452" i="6"/>
  <c r="I451" i="6"/>
  <c r="G451" i="6"/>
  <c r="H451" i="6" s="1"/>
  <c r="E451" i="6"/>
  <c r="F451" i="6" s="1"/>
  <c r="C451" i="6"/>
  <c r="N447" i="6"/>
  <c r="O447" i="6" s="1"/>
  <c r="P447" i="6"/>
  <c r="Q447" i="6" s="1"/>
  <c r="N408" i="6"/>
  <c r="O408" i="6" s="1"/>
  <c r="P408" i="6"/>
  <c r="Q408" i="6" s="1"/>
  <c r="H410" i="6"/>
  <c r="K410" i="6"/>
  <c r="B413" i="6"/>
  <c r="I412" i="6"/>
  <c r="E412" i="6"/>
  <c r="F412" i="6" s="1"/>
  <c r="C412" i="6"/>
  <c r="AC411" i="6"/>
  <c r="AB411" i="6"/>
  <c r="R411" i="6"/>
  <c r="K411" i="6"/>
  <c r="AA410" i="6"/>
  <c r="M410" i="6"/>
  <c r="L410" i="6"/>
  <c r="N409" i="6" s="1"/>
  <c r="O409" i="6" s="1"/>
  <c r="M371" i="6"/>
  <c r="L371" i="6"/>
  <c r="AD371" i="6" s="1"/>
  <c r="AA371" i="6"/>
  <c r="B374" i="6"/>
  <c r="I373" i="6"/>
  <c r="E373" i="6"/>
  <c r="F373" i="6" s="1"/>
  <c r="C373" i="6"/>
  <c r="AC372" i="6"/>
  <c r="AB372" i="6"/>
  <c r="R372" i="6"/>
  <c r="N370" i="6"/>
  <c r="O370" i="6" s="1"/>
  <c r="P370" i="6"/>
  <c r="Q370" i="6" s="1"/>
  <c r="AD370" i="6"/>
  <c r="H371" i="6"/>
  <c r="K371" i="6"/>
  <c r="G372" i="6"/>
  <c r="G335" i="6"/>
  <c r="H334" i="6"/>
  <c r="K334" i="6"/>
  <c r="AC335" i="6"/>
  <c r="AB335" i="6"/>
  <c r="R335" i="6"/>
  <c r="C336" i="6"/>
  <c r="B337" i="6"/>
  <c r="I336" i="6"/>
  <c r="E336" i="6"/>
  <c r="F336" i="6" s="1"/>
  <c r="G336" i="6"/>
  <c r="H336" i="6" s="1"/>
  <c r="AA334" i="6"/>
  <c r="AD333" i="6"/>
  <c r="M334" i="6"/>
  <c r="L334" i="6"/>
  <c r="AD334" i="6"/>
  <c r="N332" i="6"/>
  <c r="O332" i="6" s="1"/>
  <c r="M293" i="6"/>
  <c r="AD293" i="6" s="1"/>
  <c r="L293" i="6"/>
  <c r="B296" i="6"/>
  <c r="I295" i="6"/>
  <c r="E295" i="6"/>
  <c r="F295" i="6" s="1"/>
  <c r="C295" i="6"/>
  <c r="G294" i="6"/>
  <c r="N292" i="6"/>
  <c r="O292" i="6" s="1"/>
  <c r="AA293" i="6"/>
  <c r="N291" i="6"/>
  <c r="O291" i="6" s="1"/>
  <c r="AC294" i="6"/>
  <c r="AB294" i="6"/>
  <c r="R294" i="6"/>
  <c r="H293" i="6"/>
  <c r="K293" i="6"/>
  <c r="P291" i="6"/>
  <c r="Q291" i="6" s="1"/>
  <c r="AD253" i="6"/>
  <c r="M254" i="6"/>
  <c r="L254" i="6"/>
  <c r="AD254" i="6"/>
  <c r="B257" i="6"/>
  <c r="I256" i="6"/>
  <c r="E256" i="6"/>
  <c r="F256" i="6" s="1"/>
  <c r="C256" i="6"/>
  <c r="G255" i="6"/>
  <c r="AC255" i="6"/>
  <c r="AB255" i="6"/>
  <c r="R255" i="6"/>
  <c r="AA254" i="6"/>
  <c r="N253" i="6"/>
  <c r="O253" i="6" s="1"/>
  <c r="N252" i="6"/>
  <c r="O252" i="6" s="1"/>
  <c r="P252" i="6"/>
  <c r="Q252" i="6" s="1"/>
  <c r="B218" i="6"/>
  <c r="I217" i="6"/>
  <c r="E217" i="6"/>
  <c r="F217" i="6" s="1"/>
  <c r="C217" i="6"/>
  <c r="G216" i="6"/>
  <c r="M214" i="6"/>
  <c r="L214" i="6"/>
  <c r="M215" i="6"/>
  <c r="L215" i="6"/>
  <c r="AD215" i="6"/>
  <c r="AA215" i="6"/>
  <c r="AC216" i="6"/>
  <c r="AB216" i="6"/>
  <c r="R216" i="6"/>
  <c r="H215" i="6"/>
  <c r="K215" i="6"/>
  <c r="P174" i="6"/>
  <c r="Q174" i="6" s="1"/>
  <c r="B179" i="6"/>
  <c r="I178" i="6"/>
  <c r="E178" i="6"/>
  <c r="F178" i="6" s="1"/>
  <c r="C178" i="6"/>
  <c r="G177" i="6"/>
  <c r="AC177" i="6"/>
  <c r="AB177" i="6"/>
  <c r="R177" i="6"/>
  <c r="AA176" i="6"/>
  <c r="M176" i="6"/>
  <c r="L176" i="6"/>
  <c r="H176" i="6"/>
  <c r="K176" i="6"/>
  <c r="G140" i="6"/>
  <c r="AC140" i="6"/>
  <c r="AB140" i="6"/>
  <c r="R140" i="6"/>
  <c r="C141" i="6"/>
  <c r="B142" i="6"/>
  <c r="I141" i="6"/>
  <c r="E141" i="6"/>
  <c r="F141" i="6" s="1"/>
  <c r="P137" i="6"/>
  <c r="Q137" i="6" s="1"/>
  <c r="AA139" i="6"/>
  <c r="M139" i="6"/>
  <c r="L139" i="6"/>
  <c r="AD139" i="6"/>
  <c r="P96" i="6"/>
  <c r="Q96" i="6" s="1"/>
  <c r="AD97" i="6"/>
  <c r="G99" i="6"/>
  <c r="AC99" i="6"/>
  <c r="AB99" i="6"/>
  <c r="R99" i="6"/>
  <c r="AA98" i="6"/>
  <c r="B101" i="6"/>
  <c r="I100" i="6"/>
  <c r="E100" i="6"/>
  <c r="F100" i="6" s="1"/>
  <c r="C100" i="6"/>
  <c r="M98" i="6"/>
  <c r="L98" i="6"/>
  <c r="AD98" i="6"/>
  <c r="H98" i="6"/>
  <c r="K98" i="6"/>
  <c r="AC60" i="6"/>
  <c r="AB60" i="6"/>
  <c r="R60" i="6"/>
  <c r="B62" i="6"/>
  <c r="I61" i="6"/>
  <c r="E61" i="6"/>
  <c r="F61" i="6" s="1"/>
  <c r="C61" i="6"/>
  <c r="AA59" i="6"/>
  <c r="G60" i="6"/>
  <c r="M59" i="6"/>
  <c r="L59" i="6"/>
  <c r="AD59" i="6"/>
  <c r="N57" i="6"/>
  <c r="O57" i="6" s="1"/>
  <c r="H59" i="6"/>
  <c r="K59" i="6"/>
  <c r="B22" i="2"/>
  <c r="C21" i="2"/>
  <c r="R451" i="6" l="1"/>
  <c r="AC451" i="6"/>
  <c r="AB451" i="6"/>
  <c r="K451" i="6"/>
  <c r="B453" i="6"/>
  <c r="I452" i="6"/>
  <c r="E452" i="6"/>
  <c r="F452" i="6" s="1"/>
  <c r="C452" i="6"/>
  <c r="M450" i="6"/>
  <c r="L450" i="6"/>
  <c r="AD450" i="6"/>
  <c r="AA450" i="6"/>
  <c r="H450" i="6"/>
  <c r="K450" i="6"/>
  <c r="M411" i="6"/>
  <c r="AD411" i="6" s="1"/>
  <c r="L411" i="6"/>
  <c r="AA411" i="6"/>
  <c r="G412" i="6"/>
  <c r="R412" i="6"/>
  <c r="AC412" i="6"/>
  <c r="AB412" i="6"/>
  <c r="N410" i="6"/>
  <c r="O410" i="6" s="1"/>
  <c r="B414" i="6"/>
  <c r="I413" i="6"/>
  <c r="E413" i="6"/>
  <c r="F413" i="6" s="1"/>
  <c r="C413" i="6"/>
  <c r="P409" i="6"/>
  <c r="Q409" i="6" s="1"/>
  <c r="AD410" i="6"/>
  <c r="H372" i="6"/>
  <c r="K372" i="6"/>
  <c r="G373" i="6"/>
  <c r="R373" i="6"/>
  <c r="AC373" i="6"/>
  <c r="AB373" i="6"/>
  <c r="L372" i="6"/>
  <c r="AD372" i="6" s="1"/>
  <c r="M372" i="6"/>
  <c r="B375" i="6"/>
  <c r="I374" i="6"/>
  <c r="E374" i="6"/>
  <c r="F374" i="6" s="1"/>
  <c r="C374" i="6"/>
  <c r="AA372" i="6"/>
  <c r="N371" i="6"/>
  <c r="O371" i="6" s="1"/>
  <c r="P371" i="6"/>
  <c r="Q371" i="6" s="1"/>
  <c r="K336" i="6"/>
  <c r="B338" i="6"/>
  <c r="I337" i="6"/>
  <c r="E337" i="6"/>
  <c r="F337" i="6" s="1"/>
  <c r="C337" i="6"/>
  <c r="P333" i="6"/>
  <c r="Q333" i="6" s="1"/>
  <c r="N333" i="6"/>
  <c r="O333" i="6" s="1"/>
  <c r="R336" i="6"/>
  <c r="AC336" i="6"/>
  <c r="AB336" i="6"/>
  <c r="M335" i="6"/>
  <c r="L335" i="6"/>
  <c r="AA335" i="6"/>
  <c r="H335" i="6"/>
  <c r="K335" i="6"/>
  <c r="AA294" i="6"/>
  <c r="H294" i="6"/>
  <c r="K294" i="6"/>
  <c r="M294" i="6"/>
  <c r="L294" i="6"/>
  <c r="AD294" i="6"/>
  <c r="G295" i="6"/>
  <c r="B297" i="6"/>
  <c r="I296" i="6"/>
  <c r="E296" i="6"/>
  <c r="F296" i="6" s="1"/>
  <c r="C296" i="6"/>
  <c r="R295" i="6"/>
  <c r="AC295" i="6"/>
  <c r="AB295" i="6"/>
  <c r="N293" i="6"/>
  <c r="O293" i="6" s="1"/>
  <c r="P293" i="6"/>
  <c r="Q293" i="6" s="1"/>
  <c r="P292" i="6"/>
  <c r="Q292" i="6" s="1"/>
  <c r="H255" i="6"/>
  <c r="K255" i="6"/>
  <c r="G256" i="6"/>
  <c r="M255" i="6"/>
  <c r="AD255" i="6" s="1"/>
  <c r="L255" i="6"/>
  <c r="AA255" i="6"/>
  <c r="R256" i="6"/>
  <c r="AC256" i="6"/>
  <c r="AB256" i="6"/>
  <c r="N254" i="6"/>
  <c r="O254" i="6" s="1"/>
  <c r="P254" i="6"/>
  <c r="Q254" i="6" s="1"/>
  <c r="B258" i="6"/>
  <c r="I257" i="6"/>
  <c r="E257" i="6"/>
  <c r="F257" i="6" s="1"/>
  <c r="C257" i="6"/>
  <c r="P253" i="6"/>
  <c r="Q253" i="6" s="1"/>
  <c r="P214" i="6"/>
  <c r="Q214" i="6" s="1"/>
  <c r="P213" i="6"/>
  <c r="Q213" i="6" s="1"/>
  <c r="L216" i="6"/>
  <c r="M216" i="6"/>
  <c r="AA216" i="6"/>
  <c r="AD214" i="6"/>
  <c r="N214" i="6"/>
  <c r="O214" i="6" s="1"/>
  <c r="N213" i="6"/>
  <c r="O213" i="6" s="1"/>
  <c r="R217" i="6"/>
  <c r="AC217" i="6"/>
  <c r="AB217" i="6"/>
  <c r="N215" i="6"/>
  <c r="O215" i="6" s="1"/>
  <c r="H216" i="6"/>
  <c r="K216" i="6"/>
  <c r="P215" i="6"/>
  <c r="Q215" i="6" s="1"/>
  <c r="G217" i="6"/>
  <c r="B219" i="6"/>
  <c r="I218" i="6"/>
  <c r="E218" i="6"/>
  <c r="F218" i="6" s="1"/>
  <c r="C218" i="6"/>
  <c r="M177" i="6"/>
  <c r="L177" i="6"/>
  <c r="AA177" i="6"/>
  <c r="AD176" i="6"/>
  <c r="N176" i="6"/>
  <c r="O176" i="6" s="1"/>
  <c r="H177" i="6"/>
  <c r="K177" i="6"/>
  <c r="G178" i="6"/>
  <c r="R178" i="6"/>
  <c r="AC178" i="6"/>
  <c r="AB178" i="6"/>
  <c r="B180" i="6"/>
  <c r="I179" i="6"/>
  <c r="G179" i="6"/>
  <c r="K179" i="6" s="1"/>
  <c r="E179" i="6"/>
  <c r="F179" i="6" s="1"/>
  <c r="C179" i="6"/>
  <c r="P175" i="6"/>
  <c r="Q175" i="6" s="1"/>
  <c r="N175" i="6"/>
  <c r="O175" i="6" s="1"/>
  <c r="R141" i="6"/>
  <c r="AC141" i="6"/>
  <c r="AB141" i="6"/>
  <c r="G141" i="6"/>
  <c r="B143" i="6"/>
  <c r="I142" i="6"/>
  <c r="G142" i="6"/>
  <c r="H142" i="6" s="1"/>
  <c r="E142" i="6"/>
  <c r="F142" i="6" s="1"/>
  <c r="C142" i="6"/>
  <c r="M140" i="6"/>
  <c r="L140" i="6"/>
  <c r="AD140" i="6" s="1"/>
  <c r="P139" i="6"/>
  <c r="Q139" i="6" s="1"/>
  <c r="AA140" i="6"/>
  <c r="N138" i="6"/>
  <c r="O138" i="6" s="1"/>
  <c r="H140" i="6"/>
  <c r="K140" i="6"/>
  <c r="P138" i="6"/>
  <c r="Q138" i="6" s="1"/>
  <c r="G100" i="6"/>
  <c r="R100" i="6"/>
  <c r="AC100" i="6"/>
  <c r="AB100" i="6"/>
  <c r="B102" i="6"/>
  <c r="I101" i="6"/>
  <c r="G101" i="6"/>
  <c r="H101" i="6" s="1"/>
  <c r="E101" i="6"/>
  <c r="F101" i="6" s="1"/>
  <c r="C101" i="6"/>
  <c r="N97" i="6"/>
  <c r="O97" i="6" s="1"/>
  <c r="M99" i="6"/>
  <c r="L99" i="6"/>
  <c r="AD99" i="6"/>
  <c r="AA99" i="6"/>
  <c r="H99" i="6"/>
  <c r="K99" i="6"/>
  <c r="P97" i="6"/>
  <c r="Q97" i="6" s="1"/>
  <c r="G61" i="6"/>
  <c r="H61" i="6" s="1"/>
  <c r="R61" i="6"/>
  <c r="AC61" i="6"/>
  <c r="AB61" i="6"/>
  <c r="K61" i="6"/>
  <c r="B63" i="6"/>
  <c r="I62" i="6"/>
  <c r="E62" i="6"/>
  <c r="F62" i="6" s="1"/>
  <c r="C62" i="6"/>
  <c r="H60" i="6"/>
  <c r="K60" i="6"/>
  <c r="M60" i="6"/>
  <c r="P59" i="6" s="1"/>
  <c r="Q59" i="6" s="1"/>
  <c r="L60" i="6"/>
  <c r="AA60" i="6"/>
  <c r="P58" i="6"/>
  <c r="Q58" i="6" s="1"/>
  <c r="N58" i="6"/>
  <c r="O58" i="6" s="1"/>
  <c r="B23" i="2"/>
  <c r="C22" i="2"/>
  <c r="N449" i="6" l="1"/>
  <c r="O449" i="6" s="1"/>
  <c r="AC452" i="6"/>
  <c r="AB452" i="6"/>
  <c r="R452" i="6"/>
  <c r="P449" i="6"/>
  <c r="Q449" i="6" s="1"/>
  <c r="G452" i="6"/>
  <c r="C453" i="6"/>
  <c r="E453" i="6"/>
  <c r="F453" i="6" s="1"/>
  <c r="B454" i="6"/>
  <c r="I453" i="6"/>
  <c r="G453" i="6"/>
  <c r="AA451" i="6"/>
  <c r="M451" i="6"/>
  <c r="L451" i="6"/>
  <c r="AD451" i="6" s="1"/>
  <c r="H412" i="6"/>
  <c r="K412" i="6"/>
  <c r="AC413" i="6"/>
  <c r="AB413" i="6"/>
  <c r="R413" i="6"/>
  <c r="G413" i="6"/>
  <c r="AA412" i="6"/>
  <c r="C414" i="6"/>
  <c r="B415" i="6"/>
  <c r="I414" i="6"/>
  <c r="E414" i="6"/>
  <c r="F414" i="6" s="1"/>
  <c r="P411" i="6"/>
  <c r="Q411" i="6" s="1"/>
  <c r="M412" i="6"/>
  <c r="L412" i="6"/>
  <c r="AD412" i="6" s="1"/>
  <c r="P410" i="6"/>
  <c r="Q410" i="6" s="1"/>
  <c r="AC374" i="6"/>
  <c r="AB374" i="6"/>
  <c r="R374" i="6"/>
  <c r="C375" i="6"/>
  <c r="B376" i="6"/>
  <c r="I375" i="6"/>
  <c r="E375" i="6"/>
  <c r="F375" i="6" s="1"/>
  <c r="AA373" i="6"/>
  <c r="M373" i="6"/>
  <c r="L373" i="6"/>
  <c r="N372" i="6" s="1"/>
  <c r="O372" i="6" s="1"/>
  <c r="G374" i="6"/>
  <c r="H373" i="6"/>
  <c r="K373" i="6"/>
  <c r="AA336" i="6"/>
  <c r="M336" i="6"/>
  <c r="L336" i="6"/>
  <c r="AD336" i="6"/>
  <c r="AD335" i="6"/>
  <c r="AC337" i="6"/>
  <c r="AB337" i="6"/>
  <c r="R337" i="6"/>
  <c r="N334" i="6"/>
  <c r="O334" i="6" s="1"/>
  <c r="G337" i="6"/>
  <c r="E338" i="6"/>
  <c r="F338" i="6" s="1"/>
  <c r="C338" i="6"/>
  <c r="G338" i="6"/>
  <c r="B339" i="6"/>
  <c r="K338" i="6"/>
  <c r="I338" i="6"/>
  <c r="P334" i="6"/>
  <c r="Q334" i="6" s="1"/>
  <c r="M295" i="6"/>
  <c r="L295" i="6"/>
  <c r="AD295" i="6" s="1"/>
  <c r="AC296" i="6"/>
  <c r="AB296" i="6"/>
  <c r="R296" i="6"/>
  <c r="C297" i="6"/>
  <c r="B298" i="6"/>
  <c r="I297" i="6"/>
  <c r="E297" i="6"/>
  <c r="F297" i="6" s="1"/>
  <c r="P294" i="6"/>
  <c r="Q294" i="6" s="1"/>
  <c r="AA295" i="6"/>
  <c r="G296" i="6"/>
  <c r="H295" i="6"/>
  <c r="K295" i="6"/>
  <c r="N294" i="6"/>
  <c r="O294" i="6" s="1"/>
  <c r="G257" i="6"/>
  <c r="AC257" i="6"/>
  <c r="AB257" i="6"/>
  <c r="R257" i="6"/>
  <c r="C258" i="6"/>
  <c r="B259" i="6"/>
  <c r="I258" i="6"/>
  <c r="E258" i="6"/>
  <c r="F258" i="6" s="1"/>
  <c r="M256" i="6"/>
  <c r="AD256" i="6" s="1"/>
  <c r="L256" i="6"/>
  <c r="N255" i="6" s="1"/>
  <c r="O255" i="6" s="1"/>
  <c r="P255" i="6"/>
  <c r="Q255" i="6" s="1"/>
  <c r="AA256" i="6"/>
  <c r="H256" i="6"/>
  <c r="K256" i="6"/>
  <c r="C219" i="6"/>
  <c r="B220" i="6"/>
  <c r="I219" i="6"/>
  <c r="E219" i="6"/>
  <c r="F219" i="6" s="1"/>
  <c r="H217" i="6"/>
  <c r="K217" i="6"/>
  <c r="AA217" i="6"/>
  <c r="N216" i="6"/>
  <c r="O216" i="6" s="1"/>
  <c r="AD216" i="6"/>
  <c r="M217" i="6"/>
  <c r="AD217" i="6" s="1"/>
  <c r="L217" i="6"/>
  <c r="G218" i="6"/>
  <c r="AC218" i="6"/>
  <c r="AB218" i="6"/>
  <c r="R218" i="6"/>
  <c r="C180" i="6"/>
  <c r="B181" i="6"/>
  <c r="I180" i="6"/>
  <c r="E180" i="6"/>
  <c r="F180" i="6" s="1"/>
  <c r="AA178" i="6"/>
  <c r="AC179" i="6"/>
  <c r="AB179" i="6"/>
  <c r="R179" i="6"/>
  <c r="H178" i="6"/>
  <c r="K178" i="6"/>
  <c r="M178" i="6"/>
  <c r="P177" i="6" s="1"/>
  <c r="Q177" i="6" s="1"/>
  <c r="L178" i="6"/>
  <c r="AD178" i="6" s="1"/>
  <c r="H179" i="6"/>
  <c r="AD177" i="6"/>
  <c r="P176" i="6"/>
  <c r="Q176" i="6" s="1"/>
  <c r="K142" i="6"/>
  <c r="AC142" i="6"/>
  <c r="AB142" i="6"/>
  <c r="R142" i="6"/>
  <c r="E143" i="6"/>
  <c r="F143" i="6" s="1"/>
  <c r="C143" i="6"/>
  <c r="B144" i="6"/>
  <c r="I143" i="6"/>
  <c r="G143" i="6"/>
  <c r="H143" i="6" s="1"/>
  <c r="H141" i="6"/>
  <c r="K141" i="6"/>
  <c r="AA141" i="6"/>
  <c r="M141" i="6"/>
  <c r="L141" i="6"/>
  <c r="AD141" i="6"/>
  <c r="N139" i="6"/>
  <c r="O139" i="6" s="1"/>
  <c r="P98" i="6"/>
  <c r="Q98" i="6" s="1"/>
  <c r="AC101" i="6"/>
  <c r="AB101" i="6"/>
  <c r="R101" i="6"/>
  <c r="K101" i="6"/>
  <c r="C102" i="6"/>
  <c r="B103" i="6"/>
  <c r="I102" i="6"/>
  <c r="E102" i="6"/>
  <c r="F102" i="6" s="1"/>
  <c r="AA100" i="6"/>
  <c r="M100" i="6"/>
  <c r="L100" i="6"/>
  <c r="AD100" i="6"/>
  <c r="H100" i="6"/>
  <c r="K100" i="6"/>
  <c r="N98" i="6"/>
  <c r="O98" i="6" s="1"/>
  <c r="G62" i="6"/>
  <c r="AC62" i="6"/>
  <c r="AB62" i="6"/>
  <c r="R62" i="6"/>
  <c r="AD60" i="6"/>
  <c r="AA61" i="6"/>
  <c r="N60" i="6"/>
  <c r="O60" i="6" s="1"/>
  <c r="P60" i="6"/>
  <c r="Q60" i="6" s="1"/>
  <c r="C63" i="6"/>
  <c r="B64" i="6"/>
  <c r="I63" i="6"/>
  <c r="E63" i="6"/>
  <c r="F63" i="6" s="1"/>
  <c r="M61" i="6"/>
  <c r="L61" i="6"/>
  <c r="AD61" i="6"/>
  <c r="N59" i="6"/>
  <c r="O59" i="6" s="1"/>
  <c r="C23" i="2"/>
  <c r="B24" i="2"/>
  <c r="R453" i="6" l="1"/>
  <c r="AC453" i="6"/>
  <c r="AB453" i="6"/>
  <c r="H453" i="6"/>
  <c r="K453" i="6"/>
  <c r="H452" i="6"/>
  <c r="K452" i="6"/>
  <c r="P450" i="6"/>
  <c r="Q450" i="6" s="1"/>
  <c r="M452" i="6"/>
  <c r="L452" i="6"/>
  <c r="AA452" i="6"/>
  <c r="N451" i="6"/>
  <c r="O451" i="6" s="1"/>
  <c r="B455" i="6"/>
  <c r="I454" i="6"/>
  <c r="E454" i="6"/>
  <c r="F454" i="6" s="1"/>
  <c r="C454" i="6"/>
  <c r="N450" i="6"/>
  <c r="O450" i="6" s="1"/>
  <c r="G414" i="6"/>
  <c r="N411" i="6"/>
  <c r="O411" i="6" s="1"/>
  <c r="R414" i="6"/>
  <c r="AC414" i="6"/>
  <c r="AB414" i="6"/>
  <c r="B416" i="6"/>
  <c r="I415" i="6"/>
  <c r="E415" i="6"/>
  <c r="F415" i="6" s="1"/>
  <c r="C415" i="6"/>
  <c r="H413" i="6"/>
  <c r="K413" i="6"/>
  <c r="M413" i="6"/>
  <c r="L413" i="6"/>
  <c r="AA413" i="6"/>
  <c r="AD373" i="6"/>
  <c r="G375" i="6"/>
  <c r="H374" i="6"/>
  <c r="K374" i="6"/>
  <c r="R375" i="6"/>
  <c r="AC375" i="6"/>
  <c r="AB375" i="6"/>
  <c r="P372" i="6"/>
  <c r="Q372" i="6" s="1"/>
  <c r="B377" i="6"/>
  <c r="I376" i="6"/>
  <c r="E376" i="6"/>
  <c r="F376" i="6" s="1"/>
  <c r="C376" i="6"/>
  <c r="M374" i="6"/>
  <c r="AD374" i="6" s="1"/>
  <c r="L374" i="6"/>
  <c r="AA374" i="6"/>
  <c r="AB338" i="6"/>
  <c r="R338" i="6"/>
  <c r="AC338" i="6"/>
  <c r="M337" i="6"/>
  <c r="L337" i="6"/>
  <c r="AD337" i="6"/>
  <c r="N336" i="6"/>
  <c r="O336" i="6" s="1"/>
  <c r="P336" i="6"/>
  <c r="Q336" i="6" s="1"/>
  <c r="N335" i="6"/>
  <c r="O335" i="6" s="1"/>
  <c r="H338" i="6"/>
  <c r="H337" i="6"/>
  <c r="K337" i="6"/>
  <c r="B340" i="6"/>
  <c r="I339" i="6"/>
  <c r="E339" i="6"/>
  <c r="F339" i="6" s="1"/>
  <c r="C339" i="6"/>
  <c r="AA337" i="6"/>
  <c r="P335" i="6"/>
  <c r="Q335" i="6" s="1"/>
  <c r="G297" i="6"/>
  <c r="H296" i="6"/>
  <c r="K296" i="6"/>
  <c r="R297" i="6"/>
  <c r="AC297" i="6"/>
  <c r="AB297" i="6"/>
  <c r="B299" i="6"/>
  <c r="I298" i="6"/>
  <c r="E298" i="6"/>
  <c r="F298" i="6" s="1"/>
  <c r="C298" i="6"/>
  <c r="M296" i="6"/>
  <c r="L296" i="6"/>
  <c r="AD296" i="6"/>
  <c r="AA296" i="6"/>
  <c r="N295" i="6"/>
  <c r="O295" i="6" s="1"/>
  <c r="P295" i="6"/>
  <c r="Q295" i="6" s="1"/>
  <c r="G258" i="6"/>
  <c r="R258" i="6"/>
  <c r="AC258" i="6"/>
  <c r="AB258" i="6"/>
  <c r="B260" i="6"/>
  <c r="I259" i="6"/>
  <c r="E259" i="6"/>
  <c r="F259" i="6" s="1"/>
  <c r="C259" i="6"/>
  <c r="M257" i="6"/>
  <c r="L257" i="6"/>
  <c r="AD257" i="6"/>
  <c r="AA257" i="6"/>
  <c r="H257" i="6"/>
  <c r="K257" i="6"/>
  <c r="AA218" i="6"/>
  <c r="H218" i="6"/>
  <c r="K218" i="6"/>
  <c r="M218" i="6"/>
  <c r="L218" i="6"/>
  <c r="AD218" i="6" s="1"/>
  <c r="P217" i="6"/>
  <c r="Q217" i="6" s="1"/>
  <c r="P216" i="6"/>
  <c r="Q216" i="6" s="1"/>
  <c r="G219" i="6"/>
  <c r="R219" i="6"/>
  <c r="AC219" i="6"/>
  <c r="AB219" i="6"/>
  <c r="B221" i="6"/>
  <c r="I220" i="6"/>
  <c r="E220" i="6"/>
  <c r="F220" i="6" s="1"/>
  <c r="C220" i="6"/>
  <c r="N177" i="6"/>
  <c r="O177" i="6" s="1"/>
  <c r="M179" i="6"/>
  <c r="L179" i="6"/>
  <c r="AD179" i="6" s="1"/>
  <c r="AA179" i="6"/>
  <c r="G180" i="6"/>
  <c r="R180" i="6"/>
  <c r="AC180" i="6"/>
  <c r="AB180" i="6"/>
  <c r="B182" i="6"/>
  <c r="I181" i="6"/>
  <c r="E181" i="6"/>
  <c r="F181" i="6" s="1"/>
  <c r="C181" i="6"/>
  <c r="R143" i="6"/>
  <c r="AC143" i="6"/>
  <c r="AB143" i="6"/>
  <c r="K143" i="6"/>
  <c r="B145" i="6"/>
  <c r="I144" i="6"/>
  <c r="E144" i="6"/>
  <c r="F144" i="6" s="1"/>
  <c r="C144" i="6"/>
  <c r="M142" i="6"/>
  <c r="L142" i="6"/>
  <c r="AA142" i="6"/>
  <c r="P140" i="6"/>
  <c r="Q140" i="6" s="1"/>
  <c r="N140" i="6"/>
  <c r="O140" i="6" s="1"/>
  <c r="R102" i="6"/>
  <c r="AC102" i="6"/>
  <c r="AB102" i="6"/>
  <c r="B104" i="6"/>
  <c r="I103" i="6"/>
  <c r="E103" i="6"/>
  <c r="F103" i="6" s="1"/>
  <c r="C103" i="6"/>
  <c r="M101" i="6"/>
  <c r="L101" i="6"/>
  <c r="AD101" i="6"/>
  <c r="AA101" i="6"/>
  <c r="G102" i="6"/>
  <c r="N99" i="6"/>
  <c r="O99" i="6" s="1"/>
  <c r="P99" i="6"/>
  <c r="Q99" i="6" s="1"/>
  <c r="G63" i="6"/>
  <c r="P61" i="6"/>
  <c r="Q61" i="6" s="1"/>
  <c r="AA62" i="6"/>
  <c r="B65" i="6"/>
  <c r="I64" i="6"/>
  <c r="E64" i="6"/>
  <c r="F64" i="6" s="1"/>
  <c r="C64" i="6"/>
  <c r="M62" i="6"/>
  <c r="L62" i="6"/>
  <c r="N61" i="6" s="1"/>
  <c r="O61" i="6" s="1"/>
  <c r="AD62" i="6"/>
  <c r="R63" i="6"/>
  <c r="AC63" i="6"/>
  <c r="AB63" i="6"/>
  <c r="H62" i="6"/>
  <c r="K62" i="6"/>
  <c r="C24" i="2"/>
  <c r="B25" i="2"/>
  <c r="G454" i="6" l="1"/>
  <c r="E455" i="6"/>
  <c r="F455" i="6" s="1"/>
  <c r="C455" i="6"/>
  <c r="B456" i="6"/>
  <c r="I455" i="6"/>
  <c r="AD452" i="6"/>
  <c r="AC454" i="6"/>
  <c r="AB454" i="6"/>
  <c r="R454" i="6"/>
  <c r="P451" i="6"/>
  <c r="Q451" i="6" s="1"/>
  <c r="AA453" i="6"/>
  <c r="M453" i="6"/>
  <c r="L453" i="6"/>
  <c r="AD453" i="6"/>
  <c r="AD413" i="6"/>
  <c r="AC415" i="6"/>
  <c r="AB415" i="6"/>
  <c r="R415" i="6"/>
  <c r="E416" i="6"/>
  <c r="F416" i="6" s="1"/>
  <c r="C416" i="6"/>
  <c r="B417" i="6"/>
  <c r="I416" i="6"/>
  <c r="G416" i="6"/>
  <c r="H416" i="6" s="1"/>
  <c r="AA414" i="6"/>
  <c r="M414" i="6"/>
  <c r="L414" i="6"/>
  <c r="AD414" i="6"/>
  <c r="N412" i="6"/>
  <c r="O412" i="6" s="1"/>
  <c r="G415" i="6"/>
  <c r="H414" i="6"/>
  <c r="K414" i="6"/>
  <c r="P412" i="6"/>
  <c r="Q412" i="6" s="1"/>
  <c r="AC376" i="6"/>
  <c r="AB376" i="6"/>
  <c r="R376" i="6"/>
  <c r="AA375" i="6"/>
  <c r="M375" i="6"/>
  <c r="L375" i="6"/>
  <c r="AD375" i="6"/>
  <c r="G376" i="6"/>
  <c r="E377" i="6"/>
  <c r="F377" i="6" s="1"/>
  <c r="C377" i="6"/>
  <c r="B378" i="6"/>
  <c r="I377" i="6"/>
  <c r="G377" i="6"/>
  <c r="H377" i="6" s="1"/>
  <c r="H375" i="6"/>
  <c r="K375" i="6"/>
  <c r="P373" i="6"/>
  <c r="Q373" i="6" s="1"/>
  <c r="N373" i="6"/>
  <c r="O373" i="6" s="1"/>
  <c r="G339" i="6"/>
  <c r="E340" i="6"/>
  <c r="F340" i="6" s="1"/>
  <c r="I340" i="6"/>
  <c r="C340" i="6"/>
  <c r="B341" i="6"/>
  <c r="AC339" i="6"/>
  <c r="AB339" i="6"/>
  <c r="R339" i="6"/>
  <c r="N337" i="6"/>
  <c r="O337" i="6" s="1"/>
  <c r="M338" i="6"/>
  <c r="L338" i="6"/>
  <c r="AD338" i="6"/>
  <c r="AA338" i="6"/>
  <c r="AC298" i="6"/>
  <c r="AB298" i="6"/>
  <c r="R298" i="6"/>
  <c r="E299" i="6"/>
  <c r="F299" i="6" s="1"/>
  <c r="C299" i="6"/>
  <c r="B300" i="6"/>
  <c r="I299" i="6"/>
  <c r="G299" i="6"/>
  <c r="H299" i="6" s="1"/>
  <c r="AA297" i="6"/>
  <c r="G298" i="6"/>
  <c r="M297" i="6"/>
  <c r="L297" i="6"/>
  <c r="H297" i="6"/>
  <c r="K297" i="6"/>
  <c r="G259" i="6"/>
  <c r="AC259" i="6"/>
  <c r="AB259" i="6"/>
  <c r="R259" i="6"/>
  <c r="E260" i="6"/>
  <c r="F260" i="6" s="1"/>
  <c r="C260" i="6"/>
  <c r="B261" i="6"/>
  <c r="I260" i="6"/>
  <c r="G260" i="6"/>
  <c r="H260" i="6" s="1"/>
  <c r="P257" i="6"/>
  <c r="Q257" i="6" s="1"/>
  <c r="AA258" i="6"/>
  <c r="M258" i="6"/>
  <c r="L258" i="6"/>
  <c r="AD258" i="6"/>
  <c r="H258" i="6"/>
  <c r="K258" i="6"/>
  <c r="P256" i="6"/>
  <c r="Q256" i="6" s="1"/>
  <c r="N256" i="6"/>
  <c r="O256" i="6" s="1"/>
  <c r="G220" i="6"/>
  <c r="E221" i="6"/>
  <c r="F221" i="6" s="1"/>
  <c r="C221" i="6"/>
  <c r="B222" i="6"/>
  <c r="I221" i="6"/>
  <c r="G221" i="6"/>
  <c r="H221" i="6" s="1"/>
  <c r="AA219" i="6"/>
  <c r="M219" i="6"/>
  <c r="L219" i="6"/>
  <c r="AD219" i="6"/>
  <c r="H219" i="6"/>
  <c r="K219" i="6"/>
  <c r="AC220" i="6"/>
  <c r="AB220" i="6"/>
  <c r="R220" i="6"/>
  <c r="N217" i="6"/>
  <c r="O217" i="6" s="1"/>
  <c r="N218" i="6"/>
  <c r="O218" i="6" s="1"/>
  <c r="P218" i="6"/>
  <c r="Q218" i="6" s="1"/>
  <c r="AC181" i="6"/>
  <c r="AB181" i="6"/>
  <c r="R181" i="6"/>
  <c r="E182" i="6"/>
  <c r="F182" i="6" s="1"/>
  <c r="C182" i="6"/>
  <c r="B183" i="6"/>
  <c r="I182" i="6"/>
  <c r="AA180" i="6"/>
  <c r="M180" i="6"/>
  <c r="L180" i="6"/>
  <c r="AD180" i="6" s="1"/>
  <c r="H180" i="6"/>
  <c r="K180" i="6"/>
  <c r="N179" i="6"/>
  <c r="O179" i="6" s="1"/>
  <c r="P179" i="6"/>
  <c r="Q179" i="6" s="1"/>
  <c r="P178" i="6"/>
  <c r="Q178" i="6" s="1"/>
  <c r="G181" i="6"/>
  <c r="N178" i="6"/>
  <c r="O178" i="6" s="1"/>
  <c r="G144" i="6"/>
  <c r="AC144" i="6"/>
  <c r="AB144" i="6"/>
  <c r="R144" i="6"/>
  <c r="E145" i="6"/>
  <c r="F145" i="6" s="1"/>
  <c r="C145" i="6"/>
  <c r="B146" i="6"/>
  <c r="I145" i="6"/>
  <c r="AA143" i="6"/>
  <c r="AD142" i="6"/>
  <c r="M143" i="6"/>
  <c r="L143" i="6"/>
  <c r="P141" i="6"/>
  <c r="Q141" i="6" s="1"/>
  <c r="N141" i="6"/>
  <c r="O141" i="6" s="1"/>
  <c r="H102" i="6"/>
  <c r="K102" i="6"/>
  <c r="G103" i="6"/>
  <c r="AC103" i="6"/>
  <c r="AB103" i="6"/>
  <c r="R103" i="6"/>
  <c r="P100" i="6"/>
  <c r="Q100" i="6" s="1"/>
  <c r="E104" i="6"/>
  <c r="F104" i="6" s="1"/>
  <c r="C104" i="6"/>
  <c r="B105" i="6"/>
  <c r="I104" i="6"/>
  <c r="G104" i="6"/>
  <c r="H104" i="6" s="1"/>
  <c r="AA102" i="6"/>
  <c r="M102" i="6"/>
  <c r="L102" i="6"/>
  <c r="N100" i="6"/>
  <c r="O100" i="6" s="1"/>
  <c r="E65" i="6"/>
  <c r="F65" i="6" s="1"/>
  <c r="C65" i="6"/>
  <c r="B66" i="6"/>
  <c r="I65" i="6"/>
  <c r="G65" i="6"/>
  <c r="H65" i="6" s="1"/>
  <c r="M63" i="6"/>
  <c r="L63" i="6"/>
  <c r="AD63" i="6"/>
  <c r="AA63" i="6"/>
  <c r="G64" i="6"/>
  <c r="AC64" i="6"/>
  <c r="AB64" i="6"/>
  <c r="R64" i="6"/>
  <c r="H63" i="6"/>
  <c r="K63" i="6"/>
  <c r="C25" i="2"/>
  <c r="B26" i="2"/>
  <c r="AA454" i="6" l="1"/>
  <c r="G455" i="6"/>
  <c r="N453" i="6"/>
  <c r="O453" i="6" s="1"/>
  <c r="M454" i="6"/>
  <c r="L454" i="6"/>
  <c r="AD454" i="6"/>
  <c r="P452" i="6"/>
  <c r="Q452" i="6" s="1"/>
  <c r="R455" i="6"/>
  <c r="AC455" i="6"/>
  <c r="AB455" i="6"/>
  <c r="B457" i="6"/>
  <c r="I456" i="6"/>
  <c r="E456" i="6"/>
  <c r="F456" i="6" s="1"/>
  <c r="C456" i="6"/>
  <c r="H454" i="6"/>
  <c r="K454" i="6"/>
  <c r="N452" i="6"/>
  <c r="O452" i="6" s="1"/>
  <c r="H415" i="6"/>
  <c r="K415" i="6"/>
  <c r="R416" i="6"/>
  <c r="AC416" i="6"/>
  <c r="AB416" i="6"/>
  <c r="B418" i="6"/>
  <c r="I417" i="6"/>
  <c r="E417" i="6"/>
  <c r="F417" i="6" s="1"/>
  <c r="C417" i="6"/>
  <c r="M415" i="6"/>
  <c r="L415" i="6"/>
  <c r="AD415" i="6" s="1"/>
  <c r="P414" i="6"/>
  <c r="Q414" i="6" s="1"/>
  <c r="AA415" i="6"/>
  <c r="K416" i="6"/>
  <c r="P413" i="6"/>
  <c r="Q413" i="6" s="1"/>
  <c r="N413" i="6"/>
  <c r="O413" i="6" s="1"/>
  <c r="K377" i="6"/>
  <c r="R377" i="6"/>
  <c r="AC377" i="6"/>
  <c r="AB377" i="6"/>
  <c r="B379" i="6"/>
  <c r="I378" i="6"/>
  <c r="E378" i="6"/>
  <c r="F378" i="6" s="1"/>
  <c r="C378" i="6"/>
  <c r="H376" i="6"/>
  <c r="K376" i="6"/>
  <c r="M376" i="6"/>
  <c r="L376" i="6"/>
  <c r="AA376" i="6"/>
  <c r="N374" i="6"/>
  <c r="O374" i="6" s="1"/>
  <c r="P374" i="6"/>
  <c r="Q374" i="6" s="1"/>
  <c r="M339" i="6"/>
  <c r="AD339" i="6" s="1"/>
  <c r="L339" i="6"/>
  <c r="N338" i="6"/>
  <c r="O338" i="6" s="1"/>
  <c r="P337" i="6"/>
  <c r="Q337" i="6" s="1"/>
  <c r="AA339" i="6"/>
  <c r="B342" i="6"/>
  <c r="I341" i="6"/>
  <c r="E341" i="6"/>
  <c r="F341" i="6" s="1"/>
  <c r="C341" i="6"/>
  <c r="AB340" i="6"/>
  <c r="R340" i="6"/>
  <c r="AC340" i="6"/>
  <c r="G340" i="6"/>
  <c r="H339" i="6"/>
  <c r="K339" i="6"/>
  <c r="H298" i="6"/>
  <c r="K298" i="6"/>
  <c r="AD297" i="6"/>
  <c r="B301" i="6"/>
  <c r="I300" i="6"/>
  <c r="E300" i="6"/>
  <c r="F300" i="6" s="1"/>
  <c r="C300" i="6"/>
  <c r="P296" i="6"/>
  <c r="Q296" i="6" s="1"/>
  <c r="R299" i="6"/>
  <c r="AC299" i="6"/>
  <c r="AB299" i="6"/>
  <c r="K299" i="6"/>
  <c r="M298" i="6"/>
  <c r="L298" i="6"/>
  <c r="AD298" i="6" s="1"/>
  <c r="AA298" i="6"/>
  <c r="N296" i="6"/>
  <c r="O296" i="6" s="1"/>
  <c r="R260" i="6"/>
  <c r="AC260" i="6"/>
  <c r="AB260" i="6"/>
  <c r="K260" i="6"/>
  <c r="B262" i="6"/>
  <c r="I261" i="6"/>
  <c r="E261" i="6"/>
  <c r="F261" i="6" s="1"/>
  <c r="C261" i="6"/>
  <c r="M259" i="6"/>
  <c r="AD259" i="6" s="1"/>
  <c r="L259" i="6"/>
  <c r="AA259" i="6"/>
  <c r="N257" i="6"/>
  <c r="O257" i="6" s="1"/>
  <c r="H259" i="6"/>
  <c r="K259" i="6"/>
  <c r="M220" i="6"/>
  <c r="L220" i="6"/>
  <c r="AD220" i="6"/>
  <c r="AA220" i="6"/>
  <c r="N219" i="6"/>
  <c r="O219" i="6" s="1"/>
  <c r="B223" i="6"/>
  <c r="I222" i="6"/>
  <c r="G222" i="6"/>
  <c r="H222" i="6" s="1"/>
  <c r="E222" i="6"/>
  <c r="F222" i="6" s="1"/>
  <c r="C222" i="6"/>
  <c r="P219" i="6"/>
  <c r="Q219" i="6" s="1"/>
  <c r="K221" i="6"/>
  <c r="R221" i="6"/>
  <c r="AC221" i="6"/>
  <c r="AB221" i="6"/>
  <c r="H220" i="6"/>
  <c r="K220" i="6"/>
  <c r="H181" i="6"/>
  <c r="K181" i="6"/>
  <c r="G182" i="6"/>
  <c r="R182" i="6"/>
  <c r="AC182" i="6"/>
  <c r="AB182" i="6"/>
  <c r="B184" i="6"/>
  <c r="I183" i="6"/>
  <c r="E183" i="6"/>
  <c r="F183" i="6" s="1"/>
  <c r="C183" i="6"/>
  <c r="M181" i="6"/>
  <c r="L181" i="6"/>
  <c r="N180" i="6" s="1"/>
  <c r="O180" i="6" s="1"/>
  <c r="AD181" i="6"/>
  <c r="AA181" i="6"/>
  <c r="AD143" i="6"/>
  <c r="B147" i="6"/>
  <c r="I146" i="6"/>
  <c r="E146" i="6"/>
  <c r="F146" i="6" s="1"/>
  <c r="C146" i="6"/>
  <c r="AB145" i="6"/>
  <c r="R145" i="6"/>
  <c r="AC145" i="6"/>
  <c r="G145" i="6"/>
  <c r="N142" i="6"/>
  <c r="O142" i="6" s="1"/>
  <c r="P143" i="6"/>
  <c r="Q143" i="6" s="1"/>
  <c r="P142" i="6"/>
  <c r="Q142" i="6" s="1"/>
  <c r="M144" i="6"/>
  <c r="L144" i="6"/>
  <c r="AD144" i="6"/>
  <c r="AA144" i="6"/>
  <c r="H144" i="6"/>
  <c r="K144" i="6"/>
  <c r="R104" i="6"/>
  <c r="AC104" i="6"/>
  <c r="AB104" i="6"/>
  <c r="K104" i="6"/>
  <c r="M103" i="6"/>
  <c r="AD103" i="6" s="1"/>
  <c r="L103" i="6"/>
  <c r="N101" i="6"/>
  <c r="O101" i="6" s="1"/>
  <c r="AA103" i="6"/>
  <c r="H103" i="6"/>
  <c r="K103" i="6"/>
  <c r="B106" i="6"/>
  <c r="I105" i="6"/>
  <c r="G105" i="6"/>
  <c r="H105" i="6" s="1"/>
  <c r="E105" i="6"/>
  <c r="F105" i="6" s="1"/>
  <c r="C105" i="6"/>
  <c r="P101" i="6"/>
  <c r="Q101" i="6" s="1"/>
  <c r="AD102" i="6"/>
  <c r="K65" i="6"/>
  <c r="M64" i="6"/>
  <c r="L64" i="6"/>
  <c r="AA64" i="6"/>
  <c r="R65" i="6"/>
  <c r="AC65" i="6"/>
  <c r="AB65" i="6"/>
  <c r="H64" i="6"/>
  <c r="K64" i="6"/>
  <c r="B67" i="6"/>
  <c r="I66" i="6"/>
  <c r="E66" i="6"/>
  <c r="F66" i="6" s="1"/>
  <c r="C66" i="6"/>
  <c r="N62" i="6"/>
  <c r="O62" i="6" s="1"/>
  <c r="P62" i="6"/>
  <c r="Q62" i="6" s="1"/>
  <c r="C26" i="2"/>
  <c r="B27" i="2"/>
  <c r="G456" i="6" l="1"/>
  <c r="AA455" i="6"/>
  <c r="AC456" i="6"/>
  <c r="AB456" i="6"/>
  <c r="R456" i="6"/>
  <c r="E457" i="6"/>
  <c r="F457" i="6" s="1"/>
  <c r="C457" i="6"/>
  <c r="B458" i="6"/>
  <c r="I457" i="6"/>
  <c r="M455" i="6"/>
  <c r="L455" i="6"/>
  <c r="AD455" i="6"/>
  <c r="N454" i="6"/>
  <c r="O454" i="6" s="1"/>
  <c r="P454" i="6"/>
  <c r="Q454" i="6" s="1"/>
  <c r="P453" i="6"/>
  <c r="Q453" i="6" s="1"/>
  <c r="H455" i="6"/>
  <c r="K455" i="6"/>
  <c r="G417" i="6"/>
  <c r="AC417" i="6"/>
  <c r="AB417" i="6"/>
  <c r="R417" i="6"/>
  <c r="E418" i="6"/>
  <c r="F418" i="6" s="1"/>
  <c r="C418" i="6"/>
  <c r="B419" i="6"/>
  <c r="I418" i="6"/>
  <c r="AA416" i="6"/>
  <c r="M416" i="6"/>
  <c r="L416" i="6"/>
  <c r="AD416" i="6" s="1"/>
  <c r="N414" i="6"/>
  <c r="O414" i="6" s="1"/>
  <c r="AD376" i="6"/>
  <c r="P375" i="6"/>
  <c r="Q375" i="6" s="1"/>
  <c r="N375" i="6"/>
  <c r="O375" i="6" s="1"/>
  <c r="G378" i="6"/>
  <c r="AC378" i="6"/>
  <c r="AB378" i="6"/>
  <c r="R378" i="6"/>
  <c r="G379" i="6"/>
  <c r="K379" i="6" s="1"/>
  <c r="E379" i="6"/>
  <c r="F379" i="6" s="1"/>
  <c r="C379" i="6"/>
  <c r="B380" i="6"/>
  <c r="I379" i="6"/>
  <c r="AA377" i="6"/>
  <c r="M377" i="6"/>
  <c r="L377" i="6"/>
  <c r="AD377" i="6"/>
  <c r="AA340" i="6"/>
  <c r="H340" i="6"/>
  <c r="K340" i="6"/>
  <c r="G341" i="6"/>
  <c r="M340" i="6"/>
  <c r="L340" i="6"/>
  <c r="N339" i="6" s="1"/>
  <c r="O339" i="6" s="1"/>
  <c r="P339" i="6"/>
  <c r="Q339" i="6" s="1"/>
  <c r="R341" i="6"/>
  <c r="AC341" i="6"/>
  <c r="AB341" i="6"/>
  <c r="I342" i="6"/>
  <c r="E342" i="6"/>
  <c r="F342" i="6" s="1"/>
  <c r="C342" i="6"/>
  <c r="B343" i="6"/>
  <c r="P338" i="6"/>
  <c r="Q338" i="6" s="1"/>
  <c r="AA299" i="6"/>
  <c r="AC300" i="6"/>
  <c r="AB300" i="6"/>
  <c r="R300" i="6"/>
  <c r="G301" i="6"/>
  <c r="E301" i="6"/>
  <c r="F301" i="6" s="1"/>
  <c r="C301" i="6"/>
  <c r="B302" i="6"/>
  <c r="K301" i="6"/>
  <c r="I301" i="6"/>
  <c r="M299" i="6"/>
  <c r="L299" i="6"/>
  <c r="AD299" i="6"/>
  <c r="G300" i="6"/>
  <c r="N297" i="6"/>
  <c r="O297" i="6" s="1"/>
  <c r="P297" i="6"/>
  <c r="Q297" i="6" s="1"/>
  <c r="G261" i="6"/>
  <c r="AC261" i="6"/>
  <c r="AB261" i="6"/>
  <c r="R261" i="6"/>
  <c r="G262" i="6"/>
  <c r="E262" i="6"/>
  <c r="F262" i="6" s="1"/>
  <c r="C262" i="6"/>
  <c r="B263" i="6"/>
  <c r="K262" i="6"/>
  <c r="I262" i="6"/>
  <c r="AA260" i="6"/>
  <c r="M260" i="6"/>
  <c r="P259" i="6" s="1"/>
  <c r="Q259" i="6" s="1"/>
  <c r="L260" i="6"/>
  <c r="AD260" i="6" s="1"/>
  <c r="P258" i="6"/>
  <c r="Q258" i="6" s="1"/>
  <c r="N258" i="6"/>
  <c r="O258" i="6" s="1"/>
  <c r="AA221" i="6"/>
  <c r="E223" i="6"/>
  <c r="F223" i="6" s="1"/>
  <c r="C223" i="6"/>
  <c r="B224" i="6"/>
  <c r="I223" i="6"/>
  <c r="M221" i="6"/>
  <c r="L221" i="6"/>
  <c r="AD221" i="6"/>
  <c r="AC222" i="6"/>
  <c r="AB222" i="6"/>
  <c r="R222" i="6"/>
  <c r="K222" i="6"/>
  <c r="N220" i="6"/>
  <c r="O220" i="6" s="1"/>
  <c r="P220" i="6"/>
  <c r="Q220" i="6" s="1"/>
  <c r="G183" i="6"/>
  <c r="E184" i="6"/>
  <c r="F184" i="6" s="1"/>
  <c r="C184" i="6"/>
  <c r="B185" i="6"/>
  <c r="I184" i="6"/>
  <c r="AA182" i="6"/>
  <c r="M182" i="6"/>
  <c r="AD182" i="6" s="1"/>
  <c r="L182" i="6"/>
  <c r="H182" i="6"/>
  <c r="K182" i="6"/>
  <c r="AC183" i="6"/>
  <c r="AB183" i="6"/>
  <c r="R183" i="6"/>
  <c r="P180" i="6"/>
  <c r="Q180" i="6" s="1"/>
  <c r="N181" i="6"/>
  <c r="O181" i="6" s="1"/>
  <c r="P144" i="6"/>
  <c r="Q144" i="6" s="1"/>
  <c r="H145" i="6"/>
  <c r="K145" i="6"/>
  <c r="M145" i="6"/>
  <c r="AD145" i="6" s="1"/>
  <c r="L145" i="6"/>
  <c r="G146" i="6"/>
  <c r="R146" i="6"/>
  <c r="AC146" i="6"/>
  <c r="AB146" i="6"/>
  <c r="AA145" i="6"/>
  <c r="I147" i="6"/>
  <c r="E147" i="6"/>
  <c r="F147" i="6" s="1"/>
  <c r="C147" i="6"/>
  <c r="B148" i="6"/>
  <c r="N143" i="6"/>
  <c r="O143" i="6" s="1"/>
  <c r="K105" i="6"/>
  <c r="E106" i="6"/>
  <c r="F106" i="6" s="1"/>
  <c r="C106" i="6"/>
  <c r="B107" i="6"/>
  <c r="I106" i="6"/>
  <c r="AC105" i="6"/>
  <c r="AB105" i="6"/>
  <c r="R105" i="6"/>
  <c r="P103" i="6"/>
  <c r="Q103" i="6" s="1"/>
  <c r="N102" i="6"/>
  <c r="O102" i="6" s="1"/>
  <c r="P102" i="6"/>
  <c r="Q102" i="6" s="1"/>
  <c r="AA104" i="6"/>
  <c r="M104" i="6"/>
  <c r="L104" i="6"/>
  <c r="AD64" i="6"/>
  <c r="G66" i="6"/>
  <c r="H66" i="6" s="1"/>
  <c r="AC66" i="6"/>
  <c r="AB66" i="6"/>
  <c r="R66" i="6"/>
  <c r="K66" i="6"/>
  <c r="E67" i="6"/>
  <c r="F67" i="6" s="1"/>
  <c r="C67" i="6"/>
  <c r="B68" i="6"/>
  <c r="I67" i="6"/>
  <c r="AA65" i="6"/>
  <c r="M65" i="6"/>
  <c r="P64" i="6" s="1"/>
  <c r="Q64" i="6" s="1"/>
  <c r="L65" i="6"/>
  <c r="P63" i="6"/>
  <c r="Q63" i="6" s="1"/>
  <c r="N64" i="6"/>
  <c r="O64" i="6" s="1"/>
  <c r="N63" i="6"/>
  <c r="O63" i="6" s="1"/>
  <c r="C27" i="2"/>
  <c r="B28" i="2"/>
  <c r="AB457" i="6" l="1"/>
  <c r="AC457" i="6"/>
  <c r="B459" i="6"/>
  <c r="I458" i="6"/>
  <c r="G458" i="6"/>
  <c r="H458" i="6" s="1"/>
  <c r="E458" i="6"/>
  <c r="F458" i="6" s="1"/>
  <c r="C458" i="6"/>
  <c r="G457" i="6"/>
  <c r="M456" i="6"/>
  <c r="L456" i="6"/>
  <c r="AA456" i="6"/>
  <c r="H456" i="6"/>
  <c r="K456" i="6"/>
  <c r="AB418" i="6"/>
  <c r="R418" i="6"/>
  <c r="AC418" i="6"/>
  <c r="B420" i="6"/>
  <c r="I419" i="6"/>
  <c r="G419" i="6"/>
  <c r="H419" i="6" s="1"/>
  <c r="E419" i="6"/>
  <c r="F419" i="6" s="1"/>
  <c r="C419" i="6"/>
  <c r="G418" i="6"/>
  <c r="M417" i="6"/>
  <c r="AD417" i="6" s="1"/>
  <c r="L417" i="6"/>
  <c r="N416" i="6"/>
  <c r="O416" i="6" s="1"/>
  <c r="AA417" i="6"/>
  <c r="N415" i="6"/>
  <c r="O415" i="6" s="1"/>
  <c r="H417" i="6"/>
  <c r="K417" i="6"/>
  <c r="P415" i="6"/>
  <c r="Q415" i="6" s="1"/>
  <c r="AB379" i="6"/>
  <c r="R379" i="6"/>
  <c r="AC379" i="6"/>
  <c r="B381" i="6"/>
  <c r="I380" i="6"/>
  <c r="E380" i="6"/>
  <c r="F380" i="6" s="1"/>
  <c r="C380" i="6"/>
  <c r="H379" i="6"/>
  <c r="M378" i="6"/>
  <c r="L378" i="6"/>
  <c r="AD378" i="6"/>
  <c r="AA378" i="6"/>
  <c r="H378" i="6"/>
  <c r="K378" i="6"/>
  <c r="N376" i="6"/>
  <c r="O376" i="6" s="1"/>
  <c r="P376" i="6"/>
  <c r="Q376" i="6" s="1"/>
  <c r="B344" i="6"/>
  <c r="I343" i="6"/>
  <c r="E343" i="6"/>
  <c r="F343" i="6" s="1"/>
  <c r="C343" i="6"/>
  <c r="G342" i="6"/>
  <c r="M341" i="6"/>
  <c r="L341" i="6"/>
  <c r="AD341" i="6"/>
  <c r="P340" i="6"/>
  <c r="Q340" i="6" s="1"/>
  <c r="AC342" i="6"/>
  <c r="AB342" i="6"/>
  <c r="R342" i="6"/>
  <c r="AD340" i="6"/>
  <c r="H341" i="6"/>
  <c r="K341" i="6"/>
  <c r="AA341" i="6"/>
  <c r="N340" i="6"/>
  <c r="O340" i="6" s="1"/>
  <c r="N298" i="6"/>
  <c r="O298" i="6" s="1"/>
  <c r="AB301" i="6"/>
  <c r="R301" i="6"/>
  <c r="AC301" i="6"/>
  <c r="H300" i="6"/>
  <c r="K300" i="6"/>
  <c r="B303" i="6"/>
  <c r="I302" i="6"/>
  <c r="G302" i="6"/>
  <c r="H302" i="6" s="1"/>
  <c r="E302" i="6"/>
  <c r="F302" i="6" s="1"/>
  <c r="C302" i="6"/>
  <c r="H301" i="6"/>
  <c r="M300" i="6"/>
  <c r="L300" i="6"/>
  <c r="AD300" i="6"/>
  <c r="AA300" i="6"/>
  <c r="P298" i="6"/>
  <c r="Q298" i="6" s="1"/>
  <c r="AB262" i="6"/>
  <c r="R262" i="6"/>
  <c r="AC262" i="6"/>
  <c r="B264" i="6"/>
  <c r="I263" i="6"/>
  <c r="E263" i="6"/>
  <c r="F263" i="6" s="1"/>
  <c r="C263" i="6"/>
  <c r="H262" i="6"/>
  <c r="M261" i="6"/>
  <c r="AD261" i="6" s="1"/>
  <c r="L261" i="6"/>
  <c r="AA261" i="6"/>
  <c r="H261" i="6"/>
  <c r="K261" i="6"/>
  <c r="N259" i="6"/>
  <c r="O259" i="6" s="1"/>
  <c r="AB223" i="6"/>
  <c r="R223" i="6"/>
  <c r="AC223" i="6"/>
  <c r="B225" i="6"/>
  <c r="I224" i="6"/>
  <c r="E224" i="6"/>
  <c r="F224" i="6" s="1"/>
  <c r="C224" i="6"/>
  <c r="M222" i="6"/>
  <c r="L222" i="6"/>
  <c r="AD222" i="6"/>
  <c r="AA222" i="6"/>
  <c r="N221" i="6"/>
  <c r="O221" i="6" s="1"/>
  <c r="P221" i="6"/>
  <c r="Q221" i="6" s="1"/>
  <c r="G223" i="6"/>
  <c r="AA183" i="6"/>
  <c r="M183" i="6"/>
  <c r="L183" i="6"/>
  <c r="AD183" i="6" s="1"/>
  <c r="AB184" i="6"/>
  <c r="R184" i="6"/>
  <c r="AC184" i="6"/>
  <c r="B186" i="6"/>
  <c r="I185" i="6"/>
  <c r="E185" i="6"/>
  <c r="F185" i="6" s="1"/>
  <c r="C185" i="6"/>
  <c r="G184" i="6"/>
  <c r="P181" i="6"/>
  <c r="Q181" i="6" s="1"/>
  <c r="H183" i="6"/>
  <c r="K183" i="6"/>
  <c r="AC147" i="6"/>
  <c r="AB147" i="6"/>
  <c r="R147" i="6"/>
  <c r="H146" i="6"/>
  <c r="K146" i="6"/>
  <c r="G147" i="6"/>
  <c r="B149" i="6"/>
  <c r="I148" i="6"/>
  <c r="E148" i="6"/>
  <c r="F148" i="6" s="1"/>
  <c r="C148" i="6"/>
  <c r="AA146" i="6"/>
  <c r="M146" i="6"/>
  <c r="L146" i="6"/>
  <c r="AD146" i="6"/>
  <c r="P145" i="6"/>
  <c r="Q145" i="6" s="1"/>
  <c r="N144" i="6"/>
  <c r="O144" i="6" s="1"/>
  <c r="N104" i="6"/>
  <c r="O104" i="6" s="1"/>
  <c r="N103" i="6"/>
  <c r="O103" i="6" s="1"/>
  <c r="M105" i="6"/>
  <c r="AD105" i="6" s="1"/>
  <c r="L105" i="6"/>
  <c r="AA105" i="6"/>
  <c r="AD104" i="6"/>
  <c r="AB106" i="6"/>
  <c r="R106" i="6"/>
  <c r="AC106" i="6"/>
  <c r="B108" i="6"/>
  <c r="I107" i="6"/>
  <c r="E107" i="6"/>
  <c r="F107" i="6" s="1"/>
  <c r="C107" i="6"/>
  <c r="G106" i="6"/>
  <c r="AD65" i="6"/>
  <c r="G67" i="6"/>
  <c r="K67" i="6" s="1"/>
  <c r="AB67" i="6"/>
  <c r="R67" i="6"/>
  <c r="AC67" i="6"/>
  <c r="B69" i="6"/>
  <c r="I68" i="6"/>
  <c r="E68" i="6"/>
  <c r="F68" i="6" s="1"/>
  <c r="C68" i="6"/>
  <c r="M66" i="6"/>
  <c r="L66" i="6"/>
  <c r="AA66" i="6"/>
  <c r="H67" i="6"/>
  <c r="C28" i="2"/>
  <c r="B29" i="2"/>
  <c r="P455" i="6" l="1"/>
  <c r="Q455" i="6" s="1"/>
  <c r="AD456" i="6"/>
  <c r="H457" i="6"/>
  <c r="K457" i="6"/>
  <c r="R458" i="6"/>
  <c r="AC458" i="6"/>
  <c r="AB458" i="6"/>
  <c r="K458" i="6"/>
  <c r="I459" i="6"/>
  <c r="E459" i="6"/>
  <c r="F459" i="6" s="1"/>
  <c r="C459" i="6"/>
  <c r="B460" i="6"/>
  <c r="R457" i="6"/>
  <c r="AA457" i="6"/>
  <c r="N455" i="6"/>
  <c r="O455" i="6" s="1"/>
  <c r="H418" i="6"/>
  <c r="K418" i="6"/>
  <c r="R419" i="6"/>
  <c r="AC419" i="6"/>
  <c r="AB419" i="6"/>
  <c r="K419" i="6"/>
  <c r="I420" i="6"/>
  <c r="E420" i="6"/>
  <c r="F420" i="6" s="1"/>
  <c r="C420" i="6"/>
  <c r="B421" i="6"/>
  <c r="M418" i="6"/>
  <c r="L418" i="6"/>
  <c r="AD418" i="6" s="1"/>
  <c r="AA418" i="6"/>
  <c r="P416" i="6"/>
  <c r="Q416" i="6" s="1"/>
  <c r="G380" i="6"/>
  <c r="R380" i="6"/>
  <c r="AC380" i="6"/>
  <c r="AB380" i="6"/>
  <c r="I381" i="6"/>
  <c r="G381" i="6"/>
  <c r="K381" i="6" s="1"/>
  <c r="E381" i="6"/>
  <c r="F381" i="6" s="1"/>
  <c r="C381" i="6"/>
  <c r="B382" i="6"/>
  <c r="M379" i="6"/>
  <c r="P378" i="6" s="1"/>
  <c r="Q378" i="6" s="1"/>
  <c r="L379" i="6"/>
  <c r="AA379" i="6"/>
  <c r="P377" i="6"/>
  <c r="Q377" i="6" s="1"/>
  <c r="N377" i="6"/>
  <c r="O377" i="6" s="1"/>
  <c r="G343" i="6"/>
  <c r="L342" i="6"/>
  <c r="M342" i="6"/>
  <c r="H342" i="6"/>
  <c r="K342" i="6"/>
  <c r="R343" i="6"/>
  <c r="AC343" i="6"/>
  <c r="AB343" i="6"/>
  <c r="AA342" i="6"/>
  <c r="B345" i="6"/>
  <c r="I344" i="6"/>
  <c r="E344" i="6"/>
  <c r="G344" i="6" s="1"/>
  <c r="C344" i="6"/>
  <c r="I303" i="6"/>
  <c r="E303" i="6"/>
  <c r="F303" i="6" s="1"/>
  <c r="C303" i="6"/>
  <c r="B304" i="6"/>
  <c r="R302" i="6"/>
  <c r="AC302" i="6"/>
  <c r="AB302" i="6"/>
  <c r="AA301" i="6"/>
  <c r="K302" i="6"/>
  <c r="M301" i="6"/>
  <c r="L301" i="6"/>
  <c r="N299" i="6"/>
  <c r="O299" i="6" s="1"/>
  <c r="P299" i="6"/>
  <c r="Q299" i="6" s="1"/>
  <c r="G263" i="6"/>
  <c r="R263" i="6"/>
  <c r="AC263" i="6"/>
  <c r="AB263" i="6"/>
  <c r="I264" i="6"/>
  <c r="E264" i="6"/>
  <c r="F264" i="6" s="1"/>
  <c r="C264" i="6"/>
  <c r="B265" i="6"/>
  <c r="M262" i="6"/>
  <c r="P261" i="6" s="1"/>
  <c r="Q261" i="6" s="1"/>
  <c r="L262" i="6"/>
  <c r="AA262" i="6"/>
  <c r="P260" i="6"/>
  <c r="Q260" i="6" s="1"/>
  <c r="N260" i="6"/>
  <c r="O260" i="6" s="1"/>
  <c r="H223" i="6"/>
  <c r="K223" i="6"/>
  <c r="G224" i="6"/>
  <c r="R224" i="6"/>
  <c r="AC224" i="6"/>
  <c r="AB224" i="6"/>
  <c r="I225" i="6"/>
  <c r="E225" i="6"/>
  <c r="F225" i="6" s="1"/>
  <c r="C225" i="6"/>
  <c r="B226" i="6"/>
  <c r="M223" i="6"/>
  <c r="P222" i="6" s="1"/>
  <c r="Q222" i="6" s="1"/>
  <c r="L223" i="6"/>
  <c r="AD223" i="6"/>
  <c r="N222" i="6"/>
  <c r="O222" i="6" s="1"/>
  <c r="AA223" i="6"/>
  <c r="H184" i="6"/>
  <c r="K184" i="6"/>
  <c r="G185" i="6"/>
  <c r="R185" i="6"/>
  <c r="AC185" i="6"/>
  <c r="AB185" i="6"/>
  <c r="I186" i="6"/>
  <c r="G186" i="6"/>
  <c r="H186" i="6" s="1"/>
  <c r="E186" i="6"/>
  <c r="F186" i="6" s="1"/>
  <c r="C186" i="6"/>
  <c r="B187" i="6"/>
  <c r="K186" i="6"/>
  <c r="M184" i="6"/>
  <c r="P183" i="6" s="1"/>
  <c r="Q183" i="6" s="1"/>
  <c r="L184" i="6"/>
  <c r="AD184" i="6" s="1"/>
  <c r="AA184" i="6"/>
  <c r="N183" i="6"/>
  <c r="O183" i="6" s="1"/>
  <c r="P182" i="6"/>
  <c r="Q182" i="6" s="1"/>
  <c r="N182" i="6"/>
  <c r="O182" i="6" s="1"/>
  <c r="G148" i="6"/>
  <c r="R148" i="6"/>
  <c r="AC148" i="6"/>
  <c r="AB148" i="6"/>
  <c r="B150" i="6"/>
  <c r="I149" i="6"/>
  <c r="E149" i="6"/>
  <c r="G149" i="6" s="1"/>
  <c r="C149" i="6"/>
  <c r="N145" i="6"/>
  <c r="O145" i="6" s="1"/>
  <c r="H147" i="6"/>
  <c r="K147" i="6"/>
  <c r="M147" i="6"/>
  <c r="L147" i="6"/>
  <c r="AD147" i="6"/>
  <c r="AA147" i="6"/>
  <c r="R107" i="6"/>
  <c r="AC107" i="6"/>
  <c r="AB107" i="6"/>
  <c r="AA106" i="6"/>
  <c r="G107" i="6"/>
  <c r="I108" i="6"/>
  <c r="E108" i="6"/>
  <c r="F108" i="6" s="1"/>
  <c r="C108" i="6"/>
  <c r="B109" i="6"/>
  <c r="M106" i="6"/>
  <c r="L106" i="6"/>
  <c r="AD106" i="6"/>
  <c r="H106" i="6"/>
  <c r="K106" i="6"/>
  <c r="N105" i="6"/>
  <c r="O105" i="6" s="1"/>
  <c r="P105" i="6"/>
  <c r="Q105" i="6" s="1"/>
  <c r="P104" i="6"/>
  <c r="Q104" i="6" s="1"/>
  <c r="M67" i="6"/>
  <c r="P66" i="6" s="1"/>
  <c r="Q66" i="6" s="1"/>
  <c r="L67" i="6"/>
  <c r="N66" i="6" s="1"/>
  <c r="O66" i="6" s="1"/>
  <c r="R68" i="6"/>
  <c r="AC68" i="6"/>
  <c r="AB68" i="6"/>
  <c r="AA67" i="6"/>
  <c r="G68" i="6"/>
  <c r="N65" i="6"/>
  <c r="O65" i="6" s="1"/>
  <c r="I69" i="6"/>
  <c r="E69" i="6"/>
  <c r="F69" i="6" s="1"/>
  <c r="C69" i="6"/>
  <c r="B70" i="6"/>
  <c r="P65" i="6"/>
  <c r="Q65" i="6" s="1"/>
  <c r="AD66" i="6"/>
  <c r="B30" i="2"/>
  <c r="C29" i="2"/>
  <c r="G459" i="6" l="1"/>
  <c r="AA458" i="6"/>
  <c r="M457" i="6"/>
  <c r="AD457" i="6" s="1"/>
  <c r="L457" i="6"/>
  <c r="B461" i="6"/>
  <c r="I460" i="6"/>
  <c r="E460" i="6"/>
  <c r="F460" i="6" s="1"/>
  <c r="C460" i="6"/>
  <c r="AC459" i="6"/>
  <c r="AB459" i="6"/>
  <c r="R459" i="6"/>
  <c r="M458" i="6"/>
  <c r="AD458" i="6" s="1"/>
  <c r="L458" i="6"/>
  <c r="G420" i="6"/>
  <c r="AA419" i="6"/>
  <c r="M419" i="6"/>
  <c r="AD419" i="6" s="1"/>
  <c r="L419" i="6"/>
  <c r="B422" i="6"/>
  <c r="I421" i="6"/>
  <c r="G421" i="6"/>
  <c r="H421" i="6" s="1"/>
  <c r="E421" i="6"/>
  <c r="F421" i="6" s="1"/>
  <c r="C421" i="6"/>
  <c r="AC420" i="6"/>
  <c r="AB420" i="6"/>
  <c r="R420" i="6"/>
  <c r="P417" i="6"/>
  <c r="Q417" i="6" s="1"/>
  <c r="N417" i="6"/>
  <c r="O417" i="6" s="1"/>
  <c r="H381" i="6"/>
  <c r="AD379" i="6"/>
  <c r="AC381" i="6"/>
  <c r="AB381" i="6"/>
  <c r="R381" i="6"/>
  <c r="AA380" i="6"/>
  <c r="B383" i="6"/>
  <c r="I382" i="6"/>
  <c r="E382" i="6"/>
  <c r="F382" i="6" s="1"/>
  <c r="C382" i="6"/>
  <c r="M380" i="6"/>
  <c r="P379" i="6" s="1"/>
  <c r="Q379" i="6" s="1"/>
  <c r="L380" i="6"/>
  <c r="H380" i="6"/>
  <c r="K380" i="6"/>
  <c r="N378" i="6"/>
  <c r="O378" i="6" s="1"/>
  <c r="H344" i="6"/>
  <c r="K344" i="6"/>
  <c r="F344" i="6"/>
  <c r="B346" i="6"/>
  <c r="C345" i="6"/>
  <c r="I345" i="6"/>
  <c r="E345" i="6"/>
  <c r="G345" i="6" s="1"/>
  <c r="F345" i="6"/>
  <c r="AD342" i="6"/>
  <c r="AC344" i="6"/>
  <c r="AB344" i="6"/>
  <c r="R344" i="6"/>
  <c r="AA343" i="6"/>
  <c r="M343" i="6"/>
  <c r="P342" i="6" s="1"/>
  <c r="Q342" i="6" s="1"/>
  <c r="L343" i="6"/>
  <c r="H343" i="6"/>
  <c r="K343" i="6"/>
  <c r="P341" i="6"/>
  <c r="Q341" i="6" s="1"/>
  <c r="N341" i="6"/>
  <c r="O341" i="6" s="1"/>
  <c r="AA302" i="6"/>
  <c r="AD301" i="6"/>
  <c r="M302" i="6"/>
  <c r="L302" i="6"/>
  <c r="AD302" i="6"/>
  <c r="B305" i="6"/>
  <c r="I304" i="6"/>
  <c r="G304" i="6"/>
  <c r="H304" i="6" s="1"/>
  <c r="E304" i="6"/>
  <c r="F304" i="6" s="1"/>
  <c r="C304" i="6"/>
  <c r="G303" i="6"/>
  <c r="AC303" i="6"/>
  <c r="AB303" i="6"/>
  <c r="R303" i="6"/>
  <c r="P300" i="6"/>
  <c r="Q300" i="6" s="1"/>
  <c r="N300" i="6"/>
  <c r="O300" i="6" s="1"/>
  <c r="B266" i="6"/>
  <c r="I265" i="6"/>
  <c r="E265" i="6"/>
  <c r="F265" i="6" s="1"/>
  <c r="C265" i="6"/>
  <c r="G264" i="6"/>
  <c r="AC264" i="6"/>
  <c r="AB264" i="6"/>
  <c r="R264" i="6"/>
  <c r="AA263" i="6"/>
  <c r="M263" i="6"/>
  <c r="AD263" i="6" s="1"/>
  <c r="L263" i="6"/>
  <c r="AD262" i="6"/>
  <c r="H263" i="6"/>
  <c r="K263" i="6"/>
  <c r="P262" i="6"/>
  <c r="Q262" i="6" s="1"/>
  <c r="N261" i="6"/>
  <c r="O261" i="6" s="1"/>
  <c r="AC225" i="6"/>
  <c r="AB225" i="6"/>
  <c r="R225" i="6"/>
  <c r="AA224" i="6"/>
  <c r="M224" i="6"/>
  <c r="L224" i="6"/>
  <c r="AD224" i="6"/>
  <c r="H224" i="6"/>
  <c r="K224" i="6"/>
  <c r="G225" i="6"/>
  <c r="P223" i="6"/>
  <c r="Q223" i="6" s="1"/>
  <c r="B227" i="6"/>
  <c r="I226" i="6"/>
  <c r="E226" i="6"/>
  <c r="F226" i="6" s="1"/>
  <c r="C226" i="6"/>
  <c r="B188" i="6"/>
  <c r="I187" i="6"/>
  <c r="E187" i="6"/>
  <c r="F187" i="6" s="1"/>
  <c r="C187" i="6"/>
  <c r="AC186" i="6"/>
  <c r="AB186" i="6"/>
  <c r="R186" i="6"/>
  <c r="AA185" i="6"/>
  <c r="M185" i="6"/>
  <c r="L185" i="6"/>
  <c r="AD185" i="6" s="1"/>
  <c r="H185" i="6"/>
  <c r="K185" i="6"/>
  <c r="H149" i="6"/>
  <c r="K149" i="6"/>
  <c r="F149" i="6"/>
  <c r="B151" i="6"/>
  <c r="I150" i="6"/>
  <c r="E150" i="6"/>
  <c r="G150" i="6" s="1"/>
  <c r="C150" i="6"/>
  <c r="AC149" i="6"/>
  <c r="AB149" i="6"/>
  <c r="R149" i="6"/>
  <c r="P146" i="6"/>
  <c r="Q146" i="6" s="1"/>
  <c r="AA148" i="6"/>
  <c r="M148" i="6"/>
  <c r="L148" i="6"/>
  <c r="H148" i="6"/>
  <c r="K148" i="6"/>
  <c r="N146" i="6"/>
  <c r="O146" i="6" s="1"/>
  <c r="G108" i="6"/>
  <c r="AC108" i="6"/>
  <c r="AB108" i="6"/>
  <c r="R108" i="6"/>
  <c r="H107" i="6"/>
  <c r="K107" i="6"/>
  <c r="B110" i="6"/>
  <c r="I109" i="6"/>
  <c r="E109" i="6"/>
  <c r="F109" i="6" s="1"/>
  <c r="C109" i="6"/>
  <c r="AA107" i="6"/>
  <c r="M107" i="6"/>
  <c r="L107" i="6"/>
  <c r="AD107" i="6"/>
  <c r="B71" i="6"/>
  <c r="I70" i="6"/>
  <c r="E70" i="6"/>
  <c r="F70" i="6" s="1"/>
  <c r="C70" i="6"/>
  <c r="G69" i="6"/>
  <c r="H68" i="6"/>
  <c r="K68" i="6"/>
  <c r="AA68" i="6"/>
  <c r="M68" i="6"/>
  <c r="L68" i="6"/>
  <c r="AD68" i="6" s="1"/>
  <c r="AC69" i="6"/>
  <c r="AB69" i="6"/>
  <c r="R69" i="6"/>
  <c r="AD67" i="6"/>
  <c r="B31" i="2"/>
  <c r="C30" i="2"/>
  <c r="N458" i="6" l="1"/>
  <c r="O458" i="6" s="1"/>
  <c r="G460" i="6"/>
  <c r="M459" i="6"/>
  <c r="AD459" i="6" s="1"/>
  <c r="L459" i="6"/>
  <c r="AA459" i="6"/>
  <c r="R460" i="6"/>
  <c r="AC460" i="6"/>
  <c r="AB460" i="6"/>
  <c r="B462" i="6"/>
  <c r="I461" i="6"/>
  <c r="E461" i="6"/>
  <c r="G461" i="6" s="1"/>
  <c r="C461" i="6"/>
  <c r="N457" i="6"/>
  <c r="O457" i="6" s="1"/>
  <c r="N456" i="6"/>
  <c r="O456" i="6" s="1"/>
  <c r="P457" i="6"/>
  <c r="Q457" i="6" s="1"/>
  <c r="P456" i="6"/>
  <c r="Q456" i="6" s="1"/>
  <c r="P458" i="6"/>
  <c r="Q458" i="6" s="1"/>
  <c r="H459" i="6"/>
  <c r="K459" i="6"/>
  <c r="R421" i="6"/>
  <c r="AC421" i="6"/>
  <c r="AB421" i="6"/>
  <c r="B423" i="6"/>
  <c r="I422" i="6"/>
  <c r="G422" i="6"/>
  <c r="H422" i="6" s="1"/>
  <c r="F422" i="6"/>
  <c r="E422" i="6"/>
  <c r="C422" i="6"/>
  <c r="M420" i="6"/>
  <c r="L420" i="6"/>
  <c r="AD420" i="6"/>
  <c r="AA420" i="6"/>
  <c r="K421" i="6"/>
  <c r="N419" i="6"/>
  <c r="O419" i="6" s="1"/>
  <c r="P419" i="6"/>
  <c r="Q419" i="6" s="1"/>
  <c r="P418" i="6"/>
  <c r="Q418" i="6" s="1"/>
  <c r="N418" i="6"/>
  <c r="O418" i="6" s="1"/>
  <c r="H420" i="6"/>
  <c r="K420" i="6"/>
  <c r="AD380" i="6"/>
  <c r="R382" i="6"/>
  <c r="AC382" i="6"/>
  <c r="AB382" i="6"/>
  <c r="B384" i="6"/>
  <c r="I383" i="6"/>
  <c r="E383" i="6"/>
  <c r="G383" i="6" s="1"/>
  <c r="C383" i="6"/>
  <c r="G382" i="6"/>
  <c r="M381" i="6"/>
  <c r="AD381" i="6" s="1"/>
  <c r="L381" i="6"/>
  <c r="AA381" i="6"/>
  <c r="P380" i="6"/>
  <c r="Q380" i="6" s="1"/>
  <c r="N379" i="6"/>
  <c r="O379" i="6" s="1"/>
  <c r="H345" i="6"/>
  <c r="K345" i="6"/>
  <c r="AD343" i="6"/>
  <c r="R345" i="6"/>
  <c r="AC345" i="6"/>
  <c r="AB345" i="6"/>
  <c r="AA344" i="6"/>
  <c r="K346" i="6"/>
  <c r="I346" i="6"/>
  <c r="G346" i="6"/>
  <c r="F346" i="6"/>
  <c r="E346" i="6"/>
  <c r="C346" i="6"/>
  <c r="L344" i="6"/>
  <c r="M344" i="6"/>
  <c r="N342" i="6"/>
  <c r="O342" i="6" s="1"/>
  <c r="M303" i="6"/>
  <c r="L303" i="6"/>
  <c r="AD303" i="6" s="1"/>
  <c r="B306" i="6"/>
  <c r="I305" i="6"/>
  <c r="G305" i="6"/>
  <c r="H305" i="6" s="1"/>
  <c r="F305" i="6"/>
  <c r="E305" i="6"/>
  <c r="C305" i="6"/>
  <c r="R304" i="6"/>
  <c r="AC304" i="6"/>
  <c r="AB304" i="6"/>
  <c r="AA303" i="6"/>
  <c r="H303" i="6"/>
  <c r="K303" i="6"/>
  <c r="K304" i="6"/>
  <c r="N302" i="6"/>
  <c r="O302" i="6" s="1"/>
  <c r="P302" i="6"/>
  <c r="Q302" i="6" s="1"/>
  <c r="P301" i="6"/>
  <c r="Q301" i="6" s="1"/>
  <c r="N301" i="6"/>
  <c r="O301" i="6" s="1"/>
  <c r="M264" i="6"/>
  <c r="AD264" i="6" s="1"/>
  <c r="L264" i="6"/>
  <c r="AA264" i="6"/>
  <c r="H264" i="6"/>
  <c r="K264" i="6"/>
  <c r="G265" i="6"/>
  <c r="R265" i="6"/>
  <c r="AC265" i="6"/>
  <c r="AB265" i="6"/>
  <c r="B267" i="6"/>
  <c r="I266" i="6"/>
  <c r="G266" i="6"/>
  <c r="H266" i="6" s="1"/>
  <c r="E266" i="6"/>
  <c r="F266" i="6" s="1"/>
  <c r="C266" i="6"/>
  <c r="N262" i="6"/>
  <c r="O262" i="6" s="1"/>
  <c r="R226" i="6"/>
  <c r="AC226" i="6"/>
  <c r="AB226" i="6"/>
  <c r="B228" i="6"/>
  <c r="I227" i="6"/>
  <c r="E227" i="6"/>
  <c r="G227" i="6" s="1"/>
  <c r="C227" i="6"/>
  <c r="H225" i="6"/>
  <c r="K225" i="6"/>
  <c r="M225" i="6"/>
  <c r="L225" i="6"/>
  <c r="AD225" i="6" s="1"/>
  <c r="AA225" i="6"/>
  <c r="G226" i="6"/>
  <c r="N223" i="6"/>
  <c r="O223" i="6" s="1"/>
  <c r="M186" i="6"/>
  <c r="L186" i="6"/>
  <c r="AA186" i="6"/>
  <c r="G187" i="6"/>
  <c r="R187" i="6"/>
  <c r="AC187" i="6"/>
  <c r="AB187" i="6"/>
  <c r="B189" i="6"/>
  <c r="I188" i="6"/>
  <c r="E188" i="6"/>
  <c r="F188" i="6" s="1"/>
  <c r="C188" i="6"/>
  <c r="P184" i="6"/>
  <c r="Q184" i="6" s="1"/>
  <c r="N184" i="6"/>
  <c r="O184" i="6" s="1"/>
  <c r="H150" i="6"/>
  <c r="K150" i="6"/>
  <c r="L149" i="6"/>
  <c r="AD149" i="6" s="1"/>
  <c r="M149" i="6"/>
  <c r="F150" i="6"/>
  <c r="N148" i="6"/>
  <c r="O148" i="6" s="1"/>
  <c r="P148" i="6"/>
  <c r="Q148" i="6" s="1"/>
  <c r="AA149" i="6"/>
  <c r="K151" i="6"/>
  <c r="I151" i="6"/>
  <c r="G151" i="6"/>
  <c r="F151" i="6"/>
  <c r="E151" i="6"/>
  <c r="C151" i="6"/>
  <c r="P147" i="6"/>
  <c r="Q147" i="6" s="1"/>
  <c r="N147" i="6"/>
  <c r="O147" i="6" s="1"/>
  <c r="R150" i="6"/>
  <c r="AC150" i="6"/>
  <c r="AB150" i="6"/>
  <c r="AD148" i="6"/>
  <c r="B111" i="6"/>
  <c r="I110" i="6"/>
  <c r="F110" i="6"/>
  <c r="E110" i="6"/>
  <c r="G110" i="6" s="1"/>
  <c r="C110" i="6"/>
  <c r="G109" i="6"/>
  <c r="M108" i="6"/>
  <c r="L108" i="6"/>
  <c r="P107" i="6"/>
  <c r="Q107" i="6" s="1"/>
  <c r="R109" i="6"/>
  <c r="AC109" i="6"/>
  <c r="AB109" i="6"/>
  <c r="AA108" i="6"/>
  <c r="H108" i="6"/>
  <c r="K108" i="6"/>
  <c r="P106" i="6"/>
  <c r="Q106" i="6" s="1"/>
  <c r="N106" i="6"/>
  <c r="O106" i="6" s="1"/>
  <c r="P68" i="6"/>
  <c r="Q68" i="6" s="1"/>
  <c r="N68" i="6"/>
  <c r="O68" i="6" s="1"/>
  <c r="P67" i="6"/>
  <c r="Q67" i="6" s="1"/>
  <c r="R70" i="6"/>
  <c r="AC70" i="6"/>
  <c r="AB70" i="6"/>
  <c r="B72" i="6"/>
  <c r="I71" i="6"/>
  <c r="G71" i="6"/>
  <c r="E71" i="6"/>
  <c r="F71" i="6" s="1"/>
  <c r="C71" i="6"/>
  <c r="AA69" i="6"/>
  <c r="G70" i="6"/>
  <c r="M69" i="6"/>
  <c r="L69" i="6"/>
  <c r="N67" i="6"/>
  <c r="O67" i="6" s="1"/>
  <c r="H69" i="6"/>
  <c r="K69" i="6"/>
  <c r="C31" i="2"/>
  <c r="B32" i="2"/>
  <c r="H461" i="6" l="1"/>
  <c r="K461" i="6"/>
  <c r="F461" i="6"/>
  <c r="AC461" i="6"/>
  <c r="AB461" i="6"/>
  <c r="R461" i="6"/>
  <c r="B463" i="6"/>
  <c r="I462" i="6"/>
  <c r="C462" i="6"/>
  <c r="E462" i="6"/>
  <c r="G462" i="6" s="1"/>
  <c r="AA460" i="6"/>
  <c r="M460" i="6"/>
  <c r="L460" i="6"/>
  <c r="AD460" i="6"/>
  <c r="N459" i="6"/>
  <c r="O459" i="6" s="1"/>
  <c r="P459" i="6"/>
  <c r="Q459" i="6" s="1"/>
  <c r="H460" i="6"/>
  <c r="K460" i="6"/>
  <c r="AC422" i="6"/>
  <c r="AB422" i="6"/>
  <c r="R422" i="6"/>
  <c r="K422" i="6"/>
  <c r="B424" i="6"/>
  <c r="I423" i="6"/>
  <c r="E423" i="6"/>
  <c r="F423" i="6" s="1"/>
  <c r="C423" i="6"/>
  <c r="AA421" i="6"/>
  <c r="M421" i="6"/>
  <c r="L421" i="6"/>
  <c r="H383" i="6"/>
  <c r="K383" i="6"/>
  <c r="F383" i="6"/>
  <c r="AC383" i="6"/>
  <c r="AB383" i="6"/>
  <c r="R383" i="6"/>
  <c r="H382" i="6"/>
  <c r="K382" i="6"/>
  <c r="N381" i="6"/>
  <c r="O381" i="6" s="1"/>
  <c r="B385" i="6"/>
  <c r="I384" i="6"/>
  <c r="C384" i="6"/>
  <c r="E384" i="6"/>
  <c r="G384" i="6" s="1"/>
  <c r="AA382" i="6"/>
  <c r="M382" i="6"/>
  <c r="P381" i="6" s="1"/>
  <c r="Q381" i="6" s="1"/>
  <c r="L382" i="6"/>
  <c r="N380" i="6"/>
  <c r="O380" i="6" s="1"/>
  <c r="P343" i="6"/>
  <c r="Q343" i="6" s="1"/>
  <c r="H346" i="6"/>
  <c r="K349" i="6"/>
  <c r="K348" i="6"/>
  <c r="AA345" i="6"/>
  <c r="M345" i="6"/>
  <c r="L345" i="6"/>
  <c r="AD345" i="6"/>
  <c r="AD344" i="6"/>
  <c r="AC346" i="6"/>
  <c r="AB346" i="6"/>
  <c r="R346" i="6"/>
  <c r="N343" i="6"/>
  <c r="O343" i="6" s="1"/>
  <c r="AA304" i="6"/>
  <c r="M304" i="6"/>
  <c r="AD304" i="6" s="1"/>
  <c r="L304" i="6"/>
  <c r="AC305" i="6"/>
  <c r="AB305" i="6"/>
  <c r="R305" i="6"/>
  <c r="K305" i="6"/>
  <c r="B307" i="6"/>
  <c r="I306" i="6"/>
  <c r="E306" i="6"/>
  <c r="G306" i="6" s="1"/>
  <c r="C306" i="6"/>
  <c r="N303" i="6"/>
  <c r="O303" i="6" s="1"/>
  <c r="P303" i="6"/>
  <c r="Q303" i="6" s="1"/>
  <c r="AC266" i="6"/>
  <c r="AB266" i="6"/>
  <c r="R266" i="6"/>
  <c r="K266" i="6"/>
  <c r="B268" i="6"/>
  <c r="I267" i="6"/>
  <c r="E267" i="6"/>
  <c r="F267" i="6" s="1"/>
  <c r="C267" i="6"/>
  <c r="M265" i="6"/>
  <c r="L265" i="6"/>
  <c r="AD265" i="6"/>
  <c r="H265" i="6"/>
  <c r="K265" i="6"/>
  <c r="AA265" i="6"/>
  <c r="N264" i="6"/>
  <c r="O264" i="6" s="1"/>
  <c r="P264" i="6"/>
  <c r="Q264" i="6" s="1"/>
  <c r="P263" i="6"/>
  <c r="Q263" i="6" s="1"/>
  <c r="N263" i="6"/>
  <c r="O263" i="6" s="1"/>
  <c r="H227" i="6"/>
  <c r="K227" i="6"/>
  <c r="H226" i="6"/>
  <c r="K226" i="6"/>
  <c r="N225" i="6"/>
  <c r="O225" i="6" s="1"/>
  <c r="AC227" i="6"/>
  <c r="AB227" i="6"/>
  <c r="R227" i="6"/>
  <c r="B229" i="6"/>
  <c r="I228" i="6"/>
  <c r="C228" i="6"/>
  <c r="E228" i="6"/>
  <c r="F228" i="6" s="1"/>
  <c r="AA226" i="6"/>
  <c r="F227" i="6"/>
  <c r="M226" i="6"/>
  <c r="P225" i="6" s="1"/>
  <c r="Q225" i="6" s="1"/>
  <c r="L226" i="6"/>
  <c r="P224" i="6"/>
  <c r="Q224" i="6" s="1"/>
  <c r="N224" i="6"/>
  <c r="O224" i="6" s="1"/>
  <c r="AC188" i="6"/>
  <c r="AB188" i="6"/>
  <c r="R188" i="6"/>
  <c r="G188" i="6"/>
  <c r="B190" i="6"/>
  <c r="I189" i="6"/>
  <c r="E189" i="6"/>
  <c r="G189" i="6" s="1"/>
  <c r="C189" i="6"/>
  <c r="AA187" i="6"/>
  <c r="M187" i="6"/>
  <c r="L187" i="6"/>
  <c r="AD187" i="6" s="1"/>
  <c r="H187" i="6"/>
  <c r="K187" i="6"/>
  <c r="P186" i="6"/>
  <c r="Q186" i="6" s="1"/>
  <c r="AD186" i="6"/>
  <c r="P185" i="6"/>
  <c r="Q185" i="6" s="1"/>
  <c r="N185" i="6"/>
  <c r="O185" i="6" s="1"/>
  <c r="M150" i="6"/>
  <c r="AD150" i="6" s="1"/>
  <c r="L150" i="6"/>
  <c r="H151" i="6"/>
  <c r="P149" i="6"/>
  <c r="Q149" i="6" s="1"/>
  <c r="N149" i="6"/>
  <c r="O149" i="6" s="1"/>
  <c r="K154" i="6"/>
  <c r="K153" i="6"/>
  <c r="AC151" i="6"/>
  <c r="AB151" i="6"/>
  <c r="R151" i="6"/>
  <c r="AA150" i="6"/>
  <c r="H110" i="6"/>
  <c r="K110" i="6"/>
  <c r="AD108" i="6"/>
  <c r="H109" i="6"/>
  <c r="K109" i="6"/>
  <c r="M109" i="6"/>
  <c r="L109" i="6"/>
  <c r="AD109" i="6" s="1"/>
  <c r="AA109" i="6"/>
  <c r="AC110" i="6"/>
  <c r="AB110" i="6"/>
  <c r="R110" i="6"/>
  <c r="B112" i="6"/>
  <c r="I111" i="6"/>
  <c r="G111" i="6"/>
  <c r="H111" i="6" s="1"/>
  <c r="F111" i="6"/>
  <c r="E111" i="6"/>
  <c r="C111" i="6"/>
  <c r="N107" i="6"/>
  <c r="O107" i="6" s="1"/>
  <c r="B73" i="6"/>
  <c r="I72" i="6"/>
  <c r="F72" i="6"/>
  <c r="E72" i="6"/>
  <c r="G72" i="6" s="1"/>
  <c r="C72" i="6"/>
  <c r="H70" i="6"/>
  <c r="K70" i="6"/>
  <c r="M70" i="6"/>
  <c r="L70" i="6"/>
  <c r="AD70" i="6"/>
  <c r="AA70" i="6"/>
  <c r="P69" i="6"/>
  <c r="Q69" i="6" s="1"/>
  <c r="AD69" i="6"/>
  <c r="H71" i="6"/>
  <c r="AC71" i="6"/>
  <c r="AB71" i="6"/>
  <c r="R71" i="6"/>
  <c r="K71" i="6"/>
  <c r="C32" i="2"/>
  <c r="B33" i="2"/>
  <c r="H462" i="6" l="1"/>
  <c r="K462" i="6"/>
  <c r="F462" i="6"/>
  <c r="R462" i="6"/>
  <c r="AC462" i="6"/>
  <c r="AB462" i="6"/>
  <c r="I463" i="6"/>
  <c r="E463" i="6"/>
  <c r="F463" i="6" s="1"/>
  <c r="C463" i="6"/>
  <c r="L461" i="6"/>
  <c r="M461" i="6"/>
  <c r="P460" i="6" s="1"/>
  <c r="Q460" i="6" s="1"/>
  <c r="AA461" i="6"/>
  <c r="G423" i="6"/>
  <c r="R423" i="6"/>
  <c r="AC423" i="6"/>
  <c r="AB423" i="6"/>
  <c r="K424" i="6"/>
  <c r="I424" i="6"/>
  <c r="G424" i="6"/>
  <c r="H424" i="6" s="1"/>
  <c r="F424" i="6"/>
  <c r="E424" i="6"/>
  <c r="C424" i="6"/>
  <c r="L422" i="6"/>
  <c r="N421" i="6" s="1"/>
  <c r="O421" i="6" s="1"/>
  <c r="M422" i="6"/>
  <c r="AD422" i="6" s="1"/>
  <c r="AA422" i="6"/>
  <c r="P420" i="6"/>
  <c r="Q420" i="6" s="1"/>
  <c r="AD421" i="6"/>
  <c r="N420" i="6"/>
  <c r="O420" i="6" s="1"/>
  <c r="H384" i="6"/>
  <c r="K384" i="6"/>
  <c r="F384" i="6"/>
  <c r="I385" i="6"/>
  <c r="G385" i="6"/>
  <c r="E385" i="6"/>
  <c r="F385" i="6" s="1"/>
  <c r="C385" i="6"/>
  <c r="L383" i="6"/>
  <c r="M383" i="6"/>
  <c r="AD383" i="6" s="1"/>
  <c r="AA383" i="6"/>
  <c r="R384" i="6"/>
  <c r="AC384" i="6"/>
  <c r="AB384" i="6"/>
  <c r="AD382" i="6"/>
  <c r="N382" i="6"/>
  <c r="O382" i="6" s="1"/>
  <c r="M346" i="6"/>
  <c r="AD346" i="6" s="1"/>
  <c r="AD348" i="6" s="1"/>
  <c r="L346" i="6"/>
  <c r="N345" i="6" s="1"/>
  <c r="O345" i="6" s="1"/>
  <c r="R349" i="6"/>
  <c r="AC348" i="6" s="1"/>
  <c r="R348" i="6"/>
  <c r="P345" i="6"/>
  <c r="Q345" i="6" s="1"/>
  <c r="N344" i="6"/>
  <c r="O344" i="6" s="1"/>
  <c r="AA346" i="6"/>
  <c r="AB348" i="6"/>
  <c r="P344" i="6"/>
  <c r="Q344" i="6" s="1"/>
  <c r="H306" i="6"/>
  <c r="K306" i="6"/>
  <c r="F306" i="6"/>
  <c r="I307" i="6"/>
  <c r="E307" i="6"/>
  <c r="G307" i="6" s="1"/>
  <c r="C307" i="6"/>
  <c r="AA305" i="6"/>
  <c r="R306" i="6"/>
  <c r="AC306" i="6"/>
  <c r="AB306" i="6"/>
  <c r="L305" i="6"/>
  <c r="M305" i="6"/>
  <c r="AD305" i="6"/>
  <c r="N304" i="6"/>
  <c r="O304" i="6" s="1"/>
  <c r="P304" i="6"/>
  <c r="Q304" i="6" s="1"/>
  <c r="G267" i="6"/>
  <c r="I268" i="6"/>
  <c r="E268" i="6"/>
  <c r="G268" i="6" s="1"/>
  <c r="C268" i="6"/>
  <c r="L266" i="6"/>
  <c r="AD266" i="6" s="1"/>
  <c r="M266" i="6"/>
  <c r="AA266" i="6"/>
  <c r="R267" i="6"/>
  <c r="AC267" i="6"/>
  <c r="AB267" i="6"/>
  <c r="L227" i="6"/>
  <c r="M227" i="6"/>
  <c r="AD227" i="6" s="1"/>
  <c r="R228" i="6"/>
  <c r="AC228" i="6"/>
  <c r="AB228" i="6"/>
  <c r="AA227" i="6"/>
  <c r="P226" i="6"/>
  <c r="Q226" i="6" s="1"/>
  <c r="G228" i="6"/>
  <c r="K229" i="6"/>
  <c r="I229" i="6"/>
  <c r="G229" i="6"/>
  <c r="F229" i="6"/>
  <c r="E229" i="6"/>
  <c r="C229" i="6"/>
  <c r="AD226" i="6"/>
  <c r="N226" i="6"/>
  <c r="O226" i="6" s="1"/>
  <c r="H189" i="6"/>
  <c r="K189" i="6"/>
  <c r="N186" i="6"/>
  <c r="O186" i="6" s="1"/>
  <c r="F189" i="6"/>
  <c r="R189" i="6"/>
  <c r="AC189" i="6"/>
  <c r="AB189" i="6"/>
  <c r="I190" i="6"/>
  <c r="E190" i="6"/>
  <c r="G190" i="6" s="1"/>
  <c r="C190" i="6"/>
  <c r="H188" i="6"/>
  <c r="K188" i="6"/>
  <c r="L188" i="6"/>
  <c r="M188" i="6"/>
  <c r="AD188" i="6" s="1"/>
  <c r="AA188" i="6"/>
  <c r="AA151" i="6"/>
  <c r="AB153" i="6"/>
  <c r="M151" i="6"/>
  <c r="L151" i="6"/>
  <c r="AD151" i="6"/>
  <c r="AD153" i="6" s="1"/>
  <c r="AA152" i="6" s="1"/>
  <c r="R153" i="6"/>
  <c r="R154" i="6"/>
  <c r="AC153" i="6" s="1"/>
  <c r="N150" i="6"/>
  <c r="O150" i="6" s="1"/>
  <c r="P150" i="6"/>
  <c r="Q150" i="6" s="1"/>
  <c r="R111" i="6"/>
  <c r="AC111" i="6"/>
  <c r="AB111" i="6"/>
  <c r="K111" i="6"/>
  <c r="AA110" i="6"/>
  <c r="L110" i="6"/>
  <c r="M110" i="6"/>
  <c r="AD110" i="6" s="1"/>
  <c r="N109" i="6"/>
  <c r="O109" i="6" s="1"/>
  <c r="I112" i="6"/>
  <c r="E112" i="6"/>
  <c r="G112" i="6" s="1"/>
  <c r="C112" i="6"/>
  <c r="P108" i="6"/>
  <c r="Q108" i="6" s="1"/>
  <c r="N108" i="6"/>
  <c r="O108" i="6" s="1"/>
  <c r="H72" i="6"/>
  <c r="K72" i="6"/>
  <c r="AA71" i="6"/>
  <c r="L71" i="6"/>
  <c r="M71" i="6"/>
  <c r="N69" i="6"/>
  <c r="O69" i="6" s="1"/>
  <c r="R72" i="6"/>
  <c r="AC72" i="6"/>
  <c r="AB72" i="6"/>
  <c r="I73" i="6"/>
  <c r="E73" i="6"/>
  <c r="G73" i="6" s="1"/>
  <c r="C73" i="6"/>
  <c r="C33" i="2"/>
  <c r="B34" i="2"/>
  <c r="AA347" i="6" l="1"/>
  <c r="G463" i="6"/>
  <c r="AD461" i="6"/>
  <c r="AC463" i="6"/>
  <c r="AB463" i="6"/>
  <c r="R463" i="6"/>
  <c r="AA462" i="6"/>
  <c r="M462" i="6"/>
  <c r="L462" i="6"/>
  <c r="AD462" i="6"/>
  <c r="P461" i="6"/>
  <c r="Q461" i="6" s="1"/>
  <c r="N460" i="6"/>
  <c r="O460" i="6" s="1"/>
  <c r="P421" i="6"/>
  <c r="Q421" i="6" s="1"/>
  <c r="AC424" i="6"/>
  <c r="AB424" i="6"/>
  <c r="R424" i="6"/>
  <c r="AA423" i="6"/>
  <c r="M423" i="6"/>
  <c r="L423" i="6"/>
  <c r="N422" i="6" s="1"/>
  <c r="O422" i="6" s="1"/>
  <c r="H423" i="6"/>
  <c r="K423" i="6"/>
  <c r="K427" i="6" s="1"/>
  <c r="AA384" i="6"/>
  <c r="M384" i="6"/>
  <c r="L384" i="6"/>
  <c r="AD384" i="6" s="1"/>
  <c r="H385" i="6"/>
  <c r="AC385" i="6"/>
  <c r="AB385" i="6"/>
  <c r="R385" i="6"/>
  <c r="K385" i="6"/>
  <c r="P383" i="6"/>
  <c r="Q383" i="6" s="1"/>
  <c r="P382" i="6"/>
  <c r="Q382" i="6" s="1"/>
  <c r="N383" i="6"/>
  <c r="O383" i="6" s="1"/>
  <c r="AA349" i="6"/>
  <c r="AE347" i="6"/>
  <c r="AE346" i="6" s="1"/>
  <c r="AE345" i="6" s="1"/>
  <c r="AE344" i="6" s="1"/>
  <c r="AE343" i="6" s="1"/>
  <c r="AE342" i="6" s="1"/>
  <c r="AE341" i="6" s="1"/>
  <c r="AE340" i="6" s="1"/>
  <c r="AE339" i="6" s="1"/>
  <c r="AE338" i="6" s="1"/>
  <c r="AE337" i="6" s="1"/>
  <c r="AE336" i="6" s="1"/>
  <c r="AE335" i="6" s="1"/>
  <c r="AE334" i="6" s="1"/>
  <c r="AE333" i="6" s="1"/>
  <c r="AE332" i="6" s="1"/>
  <c r="AE331" i="6" s="1"/>
  <c r="AE330" i="6" s="1"/>
  <c r="AE329" i="6" s="1"/>
  <c r="AE328" i="6" s="1"/>
  <c r="AE327" i="6" s="1"/>
  <c r="AE326" i="6" s="1"/>
  <c r="AE325" i="6" s="1"/>
  <c r="AE324" i="6" s="1"/>
  <c r="AE323" i="6" s="1"/>
  <c r="AE322" i="6" s="1"/>
  <c r="AE321" i="6" s="1"/>
  <c r="AE320" i="6" s="1"/>
  <c r="AE319" i="6" s="1"/>
  <c r="AE318" i="6" s="1"/>
  <c r="AE317" i="6" s="1"/>
  <c r="AE316" i="6" s="1"/>
  <c r="AA348" i="6"/>
  <c r="N346" i="6"/>
  <c r="O346" i="6" s="1"/>
  <c r="O348" i="6" s="1"/>
  <c r="L349" i="6"/>
  <c r="L348" i="6"/>
  <c r="P346" i="6"/>
  <c r="Q346" i="6" s="1"/>
  <c r="Q348" i="6" s="1"/>
  <c r="M349" i="6"/>
  <c r="M348" i="6"/>
  <c r="H307" i="6"/>
  <c r="K307" i="6"/>
  <c r="AA306" i="6"/>
  <c r="F307" i="6"/>
  <c r="M306" i="6"/>
  <c r="L306" i="6"/>
  <c r="AD306" i="6"/>
  <c r="AC307" i="6"/>
  <c r="AB307" i="6"/>
  <c r="R307" i="6"/>
  <c r="H268" i="6"/>
  <c r="K268" i="6"/>
  <c r="M267" i="6"/>
  <c r="L267" i="6"/>
  <c r="AD267" i="6" s="1"/>
  <c r="P266" i="6"/>
  <c r="Q266" i="6" s="1"/>
  <c r="F268" i="6"/>
  <c r="AC268" i="6"/>
  <c r="AB268" i="6"/>
  <c r="R268" i="6"/>
  <c r="AA267" i="6"/>
  <c r="H267" i="6"/>
  <c r="K267" i="6"/>
  <c r="P265" i="6"/>
  <c r="Q265" i="6" s="1"/>
  <c r="N265" i="6"/>
  <c r="O265" i="6" s="1"/>
  <c r="AC229" i="6"/>
  <c r="AB229" i="6"/>
  <c r="R229" i="6"/>
  <c r="AA228" i="6"/>
  <c r="M228" i="6"/>
  <c r="L228" i="6"/>
  <c r="AD228" i="6"/>
  <c r="H229" i="6"/>
  <c r="P227" i="6"/>
  <c r="Q227" i="6" s="1"/>
  <c r="H228" i="6"/>
  <c r="K228" i="6"/>
  <c r="K232" i="6" s="1"/>
  <c r="N227" i="6"/>
  <c r="O227" i="6" s="1"/>
  <c r="H190" i="6"/>
  <c r="K190" i="6"/>
  <c r="F190" i="6"/>
  <c r="AC190" i="6"/>
  <c r="AB190" i="6"/>
  <c r="R190" i="6"/>
  <c r="AA189" i="6"/>
  <c r="M189" i="6"/>
  <c r="L189" i="6"/>
  <c r="AD189" i="6"/>
  <c r="P187" i="6"/>
  <c r="Q187" i="6" s="1"/>
  <c r="N187" i="6"/>
  <c r="O187" i="6" s="1"/>
  <c r="N151" i="6"/>
  <c r="O151" i="6" s="1"/>
  <c r="O153" i="6" s="1"/>
  <c r="L153" i="6"/>
  <c r="L154" i="6"/>
  <c r="P151" i="6"/>
  <c r="Q151" i="6" s="1"/>
  <c r="Q153" i="6" s="1"/>
  <c r="M153" i="6"/>
  <c r="M154" i="6"/>
  <c r="AA154" i="6"/>
  <c r="AE152" i="6"/>
  <c r="AE151" i="6" s="1"/>
  <c r="AE150" i="6" s="1"/>
  <c r="AE149" i="6" s="1"/>
  <c r="AE148" i="6" s="1"/>
  <c r="AE147" i="6" s="1"/>
  <c r="AE146" i="6" s="1"/>
  <c r="AE145" i="6" s="1"/>
  <c r="AE144" i="6" s="1"/>
  <c r="AE143" i="6" s="1"/>
  <c r="AE142" i="6" s="1"/>
  <c r="AE141" i="6" s="1"/>
  <c r="AE140" i="6" s="1"/>
  <c r="AE139" i="6" s="1"/>
  <c r="AE138" i="6" s="1"/>
  <c r="AE137" i="6" s="1"/>
  <c r="AE136" i="6" s="1"/>
  <c r="AE135" i="6" s="1"/>
  <c r="AE134" i="6" s="1"/>
  <c r="AE133" i="6" s="1"/>
  <c r="AE132" i="6" s="1"/>
  <c r="AE131" i="6" s="1"/>
  <c r="AE130" i="6" s="1"/>
  <c r="AE129" i="6" s="1"/>
  <c r="AE128" i="6" s="1"/>
  <c r="AE127" i="6" s="1"/>
  <c r="AE126" i="6" s="1"/>
  <c r="AE125" i="6" s="1"/>
  <c r="AE124" i="6" s="1"/>
  <c r="AE123" i="6" s="1"/>
  <c r="AE122" i="6" s="1"/>
  <c r="AE121" i="6" s="1"/>
  <c r="AA153" i="6"/>
  <c r="H112" i="6"/>
  <c r="K112" i="6"/>
  <c r="F112" i="6"/>
  <c r="P109" i="6"/>
  <c r="Q109" i="6" s="1"/>
  <c r="AC112" i="6"/>
  <c r="AB112" i="6"/>
  <c r="R112" i="6"/>
  <c r="AA111" i="6"/>
  <c r="M111" i="6"/>
  <c r="P110" i="6" s="1"/>
  <c r="Q110" i="6" s="1"/>
  <c r="L111" i="6"/>
  <c r="AD71" i="6"/>
  <c r="H73" i="6"/>
  <c r="K73" i="6"/>
  <c r="N71" i="6"/>
  <c r="O71" i="6" s="1"/>
  <c r="AC73" i="6"/>
  <c r="AB73" i="6"/>
  <c r="R73" i="6"/>
  <c r="F73" i="6"/>
  <c r="AA72" i="6"/>
  <c r="M72" i="6"/>
  <c r="L72" i="6"/>
  <c r="N70" i="6"/>
  <c r="O70" i="6" s="1"/>
  <c r="P70" i="6"/>
  <c r="Q70" i="6" s="1"/>
  <c r="C34" i="2"/>
  <c r="B35" i="2"/>
  <c r="N462" i="6" l="1"/>
  <c r="O462" i="6" s="1"/>
  <c r="M463" i="6"/>
  <c r="AD463" i="6" s="1"/>
  <c r="AD465" i="6" s="1"/>
  <c r="L463" i="6"/>
  <c r="R466" i="6"/>
  <c r="AC465" i="6" s="1"/>
  <c r="R465" i="6"/>
  <c r="AA463" i="6"/>
  <c r="AB465" i="6"/>
  <c r="N461" i="6"/>
  <c r="O461" i="6" s="1"/>
  <c r="H463" i="6"/>
  <c r="K463" i="6"/>
  <c r="AD423" i="6"/>
  <c r="P423" i="6"/>
  <c r="Q423" i="6" s="1"/>
  <c r="P422" i="6"/>
  <c r="Q422" i="6" s="1"/>
  <c r="K426" i="6"/>
  <c r="M424" i="6"/>
  <c r="L424" i="6"/>
  <c r="AD424" i="6"/>
  <c r="AD426" i="6" s="1"/>
  <c r="R426" i="6"/>
  <c r="R427" i="6"/>
  <c r="AC426" i="6" s="1"/>
  <c r="N423" i="6"/>
  <c r="O423" i="6" s="1"/>
  <c r="AA424" i="6"/>
  <c r="AB426" i="6"/>
  <c r="K387" i="6"/>
  <c r="K388" i="6"/>
  <c r="M385" i="6"/>
  <c r="AD385" i="6" s="1"/>
  <c r="AD387" i="6" s="1"/>
  <c r="L385" i="6"/>
  <c r="R388" i="6"/>
  <c r="AC387" i="6" s="1"/>
  <c r="R387" i="6"/>
  <c r="AA385" i="6"/>
  <c r="AB387" i="6"/>
  <c r="N384" i="6"/>
  <c r="O384" i="6" s="1"/>
  <c r="P384" i="6"/>
  <c r="Q384" i="6" s="1"/>
  <c r="M307" i="6"/>
  <c r="AD307" i="6" s="1"/>
  <c r="AD309" i="6" s="1"/>
  <c r="AA308" i="6" s="1"/>
  <c r="L307" i="6"/>
  <c r="R309" i="6"/>
  <c r="R310" i="6"/>
  <c r="AC309" i="6" s="1"/>
  <c r="P306" i="6"/>
  <c r="Q306" i="6" s="1"/>
  <c r="P305" i="6"/>
  <c r="Q305" i="6" s="1"/>
  <c r="N305" i="6"/>
  <c r="O305" i="6" s="1"/>
  <c r="K310" i="6"/>
  <c r="K309" i="6"/>
  <c r="AA307" i="6"/>
  <c r="AB309" i="6"/>
  <c r="M268" i="6"/>
  <c r="AD268" i="6" s="1"/>
  <c r="AD270" i="6" s="1"/>
  <c r="L268" i="6"/>
  <c r="R270" i="6"/>
  <c r="R271" i="6"/>
  <c r="AC270" i="6" s="1"/>
  <c r="AA268" i="6"/>
  <c r="AB270" i="6"/>
  <c r="N266" i="6"/>
  <c r="O266" i="6" s="1"/>
  <c r="N267" i="6"/>
  <c r="O267" i="6" s="1"/>
  <c r="P267" i="6"/>
  <c r="Q267" i="6" s="1"/>
  <c r="K271" i="6"/>
  <c r="K270" i="6"/>
  <c r="AA229" i="6"/>
  <c r="AB231" i="6"/>
  <c r="M229" i="6"/>
  <c r="P228" i="6" s="1"/>
  <c r="Q228" i="6" s="1"/>
  <c r="L229" i="6"/>
  <c r="AD229" i="6"/>
  <c r="AD231" i="6" s="1"/>
  <c r="R231" i="6"/>
  <c r="R232" i="6"/>
  <c r="AC231" i="6" s="1"/>
  <c r="K231" i="6"/>
  <c r="AA190" i="6"/>
  <c r="AB192" i="6"/>
  <c r="M190" i="6"/>
  <c r="L190" i="6"/>
  <c r="R192" i="6"/>
  <c r="R193" i="6"/>
  <c r="AC192" i="6" s="1"/>
  <c r="N188" i="6"/>
  <c r="O188" i="6" s="1"/>
  <c r="P189" i="6"/>
  <c r="Q189" i="6" s="1"/>
  <c r="P188" i="6"/>
  <c r="Q188" i="6" s="1"/>
  <c r="K192" i="6"/>
  <c r="K193" i="6"/>
  <c r="AD111" i="6"/>
  <c r="M112" i="6"/>
  <c r="L112" i="6"/>
  <c r="AD112" i="6" s="1"/>
  <c r="AD114" i="6" s="1"/>
  <c r="AA113" i="6" s="1"/>
  <c r="R115" i="6"/>
  <c r="AC114" i="6" s="1"/>
  <c r="R114" i="6"/>
  <c r="N111" i="6"/>
  <c r="O111" i="6" s="1"/>
  <c r="AA112" i="6"/>
  <c r="AB114" i="6"/>
  <c r="P111" i="6"/>
  <c r="Q111" i="6" s="1"/>
  <c r="N110" i="6"/>
  <c r="O110" i="6" s="1"/>
  <c r="K115" i="6"/>
  <c r="K114" i="6"/>
  <c r="M73" i="6"/>
  <c r="L73" i="6"/>
  <c r="AD73" i="6" s="1"/>
  <c r="R75" i="6"/>
  <c r="R76" i="6"/>
  <c r="AC75" i="6" s="1"/>
  <c r="N72" i="6"/>
  <c r="O72" i="6" s="1"/>
  <c r="AD72" i="6"/>
  <c r="P72" i="6"/>
  <c r="Q72" i="6" s="1"/>
  <c r="P71" i="6"/>
  <c r="Q71" i="6" s="1"/>
  <c r="AA73" i="6"/>
  <c r="AB75" i="6"/>
  <c r="K75" i="6"/>
  <c r="K76" i="6"/>
  <c r="C35" i="2"/>
  <c r="B36" i="2"/>
  <c r="AA386" i="6" l="1"/>
  <c r="AA269" i="6"/>
  <c r="K466" i="6"/>
  <c r="K465" i="6"/>
  <c r="AA464" i="6" s="1"/>
  <c r="N463" i="6"/>
  <c r="O463" i="6" s="1"/>
  <c r="O465" i="6" s="1"/>
  <c r="L465" i="6"/>
  <c r="L466" i="6"/>
  <c r="P463" i="6"/>
  <c r="Q463" i="6" s="1"/>
  <c r="M466" i="6"/>
  <c r="M465" i="6"/>
  <c r="P462" i="6"/>
  <c r="Q462" i="6" s="1"/>
  <c r="AA425" i="6"/>
  <c r="N424" i="6"/>
  <c r="O424" i="6" s="1"/>
  <c r="O426" i="6" s="1"/>
  <c r="L427" i="6"/>
  <c r="L426" i="6"/>
  <c r="P424" i="6"/>
  <c r="Q424" i="6" s="1"/>
  <c r="Q426" i="6" s="1"/>
  <c r="M427" i="6"/>
  <c r="M426" i="6"/>
  <c r="AA388" i="6"/>
  <c r="AE386" i="6"/>
  <c r="AE385" i="6" s="1"/>
  <c r="AE384" i="6" s="1"/>
  <c r="AE383" i="6" s="1"/>
  <c r="AE382" i="6" s="1"/>
  <c r="AE381" i="6" s="1"/>
  <c r="AE380" i="6" s="1"/>
  <c r="AE379" i="6" s="1"/>
  <c r="AE378" i="6" s="1"/>
  <c r="AE377" i="6" s="1"/>
  <c r="AE376" i="6" s="1"/>
  <c r="AE375" i="6" s="1"/>
  <c r="AE374" i="6" s="1"/>
  <c r="AE373" i="6" s="1"/>
  <c r="AE372" i="6" s="1"/>
  <c r="AE371" i="6" s="1"/>
  <c r="AE370" i="6" s="1"/>
  <c r="AE369" i="6" s="1"/>
  <c r="AE368" i="6" s="1"/>
  <c r="AE367" i="6" s="1"/>
  <c r="AE366" i="6" s="1"/>
  <c r="AE365" i="6" s="1"/>
  <c r="AE364" i="6" s="1"/>
  <c r="AE363" i="6" s="1"/>
  <c r="AE362" i="6" s="1"/>
  <c r="AE361" i="6" s="1"/>
  <c r="AE360" i="6" s="1"/>
  <c r="AE359" i="6" s="1"/>
  <c r="AE358" i="6" s="1"/>
  <c r="AE357" i="6" s="1"/>
  <c r="AE356" i="6" s="1"/>
  <c r="AE355" i="6" s="1"/>
  <c r="AA387" i="6"/>
  <c r="N385" i="6"/>
  <c r="O385" i="6" s="1"/>
  <c r="O387" i="6" s="1"/>
  <c r="L388" i="6"/>
  <c r="L387" i="6"/>
  <c r="P385" i="6"/>
  <c r="Q385" i="6" s="1"/>
  <c r="Q387" i="6" s="1"/>
  <c r="M387" i="6"/>
  <c r="M388" i="6"/>
  <c r="AA310" i="6"/>
  <c r="AE308" i="6"/>
  <c r="AE307" i="6" s="1"/>
  <c r="AE306" i="6" s="1"/>
  <c r="AE305" i="6" s="1"/>
  <c r="AE304" i="6" s="1"/>
  <c r="AE303" i="6" s="1"/>
  <c r="AE302" i="6" s="1"/>
  <c r="AE301" i="6" s="1"/>
  <c r="AE300" i="6" s="1"/>
  <c r="AE299" i="6" s="1"/>
  <c r="AE298" i="6" s="1"/>
  <c r="AE297" i="6" s="1"/>
  <c r="AE296" i="6" s="1"/>
  <c r="AE295" i="6" s="1"/>
  <c r="AE294" i="6" s="1"/>
  <c r="AE293" i="6" s="1"/>
  <c r="AE292" i="6" s="1"/>
  <c r="AE291" i="6" s="1"/>
  <c r="AE290" i="6" s="1"/>
  <c r="AE289" i="6" s="1"/>
  <c r="AE288" i="6" s="1"/>
  <c r="AE287" i="6" s="1"/>
  <c r="AE286" i="6" s="1"/>
  <c r="AE285" i="6" s="1"/>
  <c r="AE284" i="6" s="1"/>
  <c r="AE283" i="6" s="1"/>
  <c r="AE282" i="6" s="1"/>
  <c r="AE281" i="6" s="1"/>
  <c r="AE280" i="6" s="1"/>
  <c r="AE279" i="6" s="1"/>
  <c r="AE278" i="6" s="1"/>
  <c r="AE277" i="6" s="1"/>
  <c r="AA309" i="6"/>
  <c r="N307" i="6"/>
  <c r="O307" i="6" s="1"/>
  <c r="O309" i="6" s="1"/>
  <c r="L310" i="6"/>
  <c r="L309" i="6"/>
  <c r="P307" i="6"/>
  <c r="Q307" i="6" s="1"/>
  <c r="Q309" i="6" s="1"/>
  <c r="M310" i="6"/>
  <c r="M309" i="6"/>
  <c r="N306" i="6"/>
  <c r="O306" i="6" s="1"/>
  <c r="AA271" i="6"/>
  <c r="AE269" i="6"/>
  <c r="AE268" i="6" s="1"/>
  <c r="AE267" i="6" s="1"/>
  <c r="AE266" i="6" s="1"/>
  <c r="AE265" i="6" s="1"/>
  <c r="AE264" i="6" s="1"/>
  <c r="AE263" i="6" s="1"/>
  <c r="AE262" i="6" s="1"/>
  <c r="AE261" i="6" s="1"/>
  <c r="AE260" i="6" s="1"/>
  <c r="AE259" i="6" s="1"/>
  <c r="AE258" i="6" s="1"/>
  <c r="AE257" i="6" s="1"/>
  <c r="AE256" i="6" s="1"/>
  <c r="AE255" i="6" s="1"/>
  <c r="AE254" i="6" s="1"/>
  <c r="AE253" i="6" s="1"/>
  <c r="AE252" i="6" s="1"/>
  <c r="AE251" i="6" s="1"/>
  <c r="AE250" i="6" s="1"/>
  <c r="AE249" i="6" s="1"/>
  <c r="AE248" i="6" s="1"/>
  <c r="AE247" i="6" s="1"/>
  <c r="AE246" i="6" s="1"/>
  <c r="AE245" i="6" s="1"/>
  <c r="AE244" i="6" s="1"/>
  <c r="AE243" i="6" s="1"/>
  <c r="AE242" i="6" s="1"/>
  <c r="AE241" i="6" s="1"/>
  <c r="AE240" i="6" s="1"/>
  <c r="AE239" i="6" s="1"/>
  <c r="AE238" i="6" s="1"/>
  <c r="AA270" i="6"/>
  <c r="N268" i="6"/>
  <c r="O268" i="6" s="1"/>
  <c r="O270" i="6" s="1"/>
  <c r="L271" i="6"/>
  <c r="L270" i="6"/>
  <c r="P268" i="6"/>
  <c r="Q268" i="6" s="1"/>
  <c r="Q270" i="6" s="1"/>
  <c r="M271" i="6"/>
  <c r="M270" i="6"/>
  <c r="N229" i="6"/>
  <c r="O229" i="6" s="1"/>
  <c r="L232" i="6"/>
  <c r="L231" i="6"/>
  <c r="AA230" i="6"/>
  <c r="P229" i="6"/>
  <c r="Q229" i="6" s="1"/>
  <c r="Q231" i="6" s="1"/>
  <c r="M231" i="6"/>
  <c r="M232" i="6"/>
  <c r="N228" i="6"/>
  <c r="O228" i="6" s="1"/>
  <c r="N190" i="6"/>
  <c r="O190" i="6" s="1"/>
  <c r="L192" i="6"/>
  <c r="L193" i="6"/>
  <c r="AD190" i="6"/>
  <c r="AD192" i="6" s="1"/>
  <c r="AA191" i="6" s="1"/>
  <c r="P190" i="6"/>
  <c r="Q190" i="6" s="1"/>
  <c r="Q192" i="6" s="1"/>
  <c r="M192" i="6"/>
  <c r="M193" i="6"/>
  <c r="N189" i="6"/>
  <c r="O189" i="6" s="1"/>
  <c r="AA115" i="6"/>
  <c r="AE113" i="6"/>
  <c r="AE112" i="6" s="1"/>
  <c r="AE111" i="6" s="1"/>
  <c r="AE110" i="6" s="1"/>
  <c r="AE109" i="6" s="1"/>
  <c r="AE108" i="6" s="1"/>
  <c r="AE107" i="6" s="1"/>
  <c r="AE106" i="6" s="1"/>
  <c r="AE105" i="6" s="1"/>
  <c r="AE104" i="6" s="1"/>
  <c r="AE103" i="6" s="1"/>
  <c r="AE102" i="6" s="1"/>
  <c r="AE101" i="6" s="1"/>
  <c r="AE100" i="6" s="1"/>
  <c r="AE99" i="6" s="1"/>
  <c r="AE98" i="6" s="1"/>
  <c r="AE97" i="6" s="1"/>
  <c r="AE96" i="6" s="1"/>
  <c r="AE95" i="6" s="1"/>
  <c r="AE94" i="6" s="1"/>
  <c r="AE93" i="6" s="1"/>
  <c r="AE92" i="6" s="1"/>
  <c r="AE91" i="6" s="1"/>
  <c r="AE90" i="6" s="1"/>
  <c r="AE89" i="6" s="1"/>
  <c r="AE88" i="6" s="1"/>
  <c r="AE87" i="6" s="1"/>
  <c r="AE86" i="6" s="1"/>
  <c r="AE85" i="6" s="1"/>
  <c r="AE84" i="6" s="1"/>
  <c r="AE83" i="6" s="1"/>
  <c r="AE82" i="6" s="1"/>
  <c r="AA114" i="6"/>
  <c r="N112" i="6"/>
  <c r="O112" i="6" s="1"/>
  <c r="O114" i="6" s="1"/>
  <c r="L115" i="6"/>
  <c r="L114" i="6"/>
  <c r="P112" i="6"/>
  <c r="Q112" i="6" s="1"/>
  <c r="Q114" i="6" s="1"/>
  <c r="M114" i="6"/>
  <c r="M115" i="6"/>
  <c r="AD75" i="6"/>
  <c r="AA74" i="6" s="1"/>
  <c r="AA76" i="6" s="1"/>
  <c r="N73" i="6"/>
  <c r="O73" i="6" s="1"/>
  <c r="O75" i="6" s="1"/>
  <c r="L75" i="6"/>
  <c r="L76" i="6"/>
  <c r="P73" i="6"/>
  <c r="Q73" i="6" s="1"/>
  <c r="Q75" i="6" s="1"/>
  <c r="M76" i="6"/>
  <c r="M75" i="6"/>
  <c r="C36" i="2"/>
  <c r="B37" i="2"/>
  <c r="AA75" i="6" l="1"/>
  <c r="AE74" i="6"/>
  <c r="AE73" i="6" s="1"/>
  <c r="AE72" i="6" s="1"/>
  <c r="AE71" i="6" s="1"/>
  <c r="AE70" i="6" s="1"/>
  <c r="AE69" i="6" s="1"/>
  <c r="AE68" i="6" s="1"/>
  <c r="AE67" i="6" s="1"/>
  <c r="AE66" i="6" s="1"/>
  <c r="AE65" i="6" s="1"/>
  <c r="AE64" i="6" s="1"/>
  <c r="AE63" i="6" s="1"/>
  <c r="AE62" i="6" s="1"/>
  <c r="AE61" i="6" s="1"/>
  <c r="AE60" i="6" s="1"/>
  <c r="AE59" i="6" s="1"/>
  <c r="AE58" i="6" s="1"/>
  <c r="AE57" i="6" s="1"/>
  <c r="AE56" i="6" s="1"/>
  <c r="AE55" i="6" s="1"/>
  <c r="AE54" i="6" s="1"/>
  <c r="AE53" i="6" s="1"/>
  <c r="AE52" i="6" s="1"/>
  <c r="AE51" i="6" s="1"/>
  <c r="AE50" i="6" s="1"/>
  <c r="AE49" i="6" s="1"/>
  <c r="AE48" i="6" s="1"/>
  <c r="AE47" i="6" s="1"/>
  <c r="AE46" i="6" s="1"/>
  <c r="AE45" i="6" s="1"/>
  <c r="AE44" i="6" s="1"/>
  <c r="AE43" i="6" s="1"/>
  <c r="AA466" i="6"/>
  <c r="AE464" i="6"/>
  <c r="AE463" i="6" s="1"/>
  <c r="AE462" i="6" s="1"/>
  <c r="AE461" i="6" s="1"/>
  <c r="AE460" i="6" s="1"/>
  <c r="AE459" i="6" s="1"/>
  <c r="AE458" i="6" s="1"/>
  <c r="AE457" i="6" s="1"/>
  <c r="AE456" i="6" s="1"/>
  <c r="AE455" i="6" s="1"/>
  <c r="AE454" i="6" s="1"/>
  <c r="AE453" i="6" s="1"/>
  <c r="AE452" i="6" s="1"/>
  <c r="AE451" i="6" s="1"/>
  <c r="AE450" i="6" s="1"/>
  <c r="AE449" i="6" s="1"/>
  <c r="AE448" i="6" s="1"/>
  <c r="AE447" i="6" s="1"/>
  <c r="AE446" i="6" s="1"/>
  <c r="AE445" i="6" s="1"/>
  <c r="AE444" i="6" s="1"/>
  <c r="AE443" i="6" s="1"/>
  <c r="AE442" i="6" s="1"/>
  <c r="AE441" i="6" s="1"/>
  <c r="AE440" i="6" s="1"/>
  <c r="AE439" i="6" s="1"/>
  <c r="AE438" i="6" s="1"/>
  <c r="AE437" i="6" s="1"/>
  <c r="AE436" i="6" s="1"/>
  <c r="AE435" i="6" s="1"/>
  <c r="AE434" i="6" s="1"/>
  <c r="AE433" i="6" s="1"/>
  <c r="AA465" i="6"/>
  <c r="Q465" i="6"/>
  <c r="AA427" i="6"/>
  <c r="AE425" i="6"/>
  <c r="AE424" i="6" s="1"/>
  <c r="AE423" i="6" s="1"/>
  <c r="AE422" i="6" s="1"/>
  <c r="AE421" i="6" s="1"/>
  <c r="AE420" i="6" s="1"/>
  <c r="AE419" i="6" s="1"/>
  <c r="AE418" i="6" s="1"/>
  <c r="AE417" i="6" s="1"/>
  <c r="AE416" i="6" s="1"/>
  <c r="AE415" i="6" s="1"/>
  <c r="AE414" i="6" s="1"/>
  <c r="AE413" i="6" s="1"/>
  <c r="AE412" i="6" s="1"/>
  <c r="AE411" i="6" s="1"/>
  <c r="AE410" i="6" s="1"/>
  <c r="AE409" i="6" s="1"/>
  <c r="AE408" i="6" s="1"/>
  <c r="AE407" i="6" s="1"/>
  <c r="AE406" i="6" s="1"/>
  <c r="AE405" i="6" s="1"/>
  <c r="AE404" i="6" s="1"/>
  <c r="AE403" i="6" s="1"/>
  <c r="AE402" i="6" s="1"/>
  <c r="AE401" i="6" s="1"/>
  <c r="AE400" i="6" s="1"/>
  <c r="AE399" i="6" s="1"/>
  <c r="AE398" i="6" s="1"/>
  <c r="AE397" i="6" s="1"/>
  <c r="AE396" i="6" s="1"/>
  <c r="AE395" i="6" s="1"/>
  <c r="AE394" i="6" s="1"/>
  <c r="AA426" i="6"/>
  <c r="AA232" i="6"/>
  <c r="AE230" i="6"/>
  <c r="AE229" i="6" s="1"/>
  <c r="AE228" i="6" s="1"/>
  <c r="AE227" i="6" s="1"/>
  <c r="AE226" i="6" s="1"/>
  <c r="AE225" i="6" s="1"/>
  <c r="AE224" i="6" s="1"/>
  <c r="AE223" i="6" s="1"/>
  <c r="AE222" i="6" s="1"/>
  <c r="AE221" i="6" s="1"/>
  <c r="AE220" i="6" s="1"/>
  <c r="AE219" i="6" s="1"/>
  <c r="AE218" i="6" s="1"/>
  <c r="AE217" i="6" s="1"/>
  <c r="AE216" i="6" s="1"/>
  <c r="AE215" i="6" s="1"/>
  <c r="AE214" i="6" s="1"/>
  <c r="AE213" i="6" s="1"/>
  <c r="AE212" i="6" s="1"/>
  <c r="AE211" i="6" s="1"/>
  <c r="AE210" i="6" s="1"/>
  <c r="AE209" i="6" s="1"/>
  <c r="AE208" i="6" s="1"/>
  <c r="AE207" i="6" s="1"/>
  <c r="AE206" i="6" s="1"/>
  <c r="AE205" i="6" s="1"/>
  <c r="AE204" i="6" s="1"/>
  <c r="AE203" i="6" s="1"/>
  <c r="AE202" i="6" s="1"/>
  <c r="AE201" i="6" s="1"/>
  <c r="AE200" i="6" s="1"/>
  <c r="AE199" i="6" s="1"/>
  <c r="AA231" i="6"/>
  <c r="O231" i="6"/>
  <c r="AA193" i="6"/>
  <c r="AE191" i="6"/>
  <c r="AE190" i="6" s="1"/>
  <c r="AE189" i="6" s="1"/>
  <c r="AE188" i="6" s="1"/>
  <c r="AE187" i="6" s="1"/>
  <c r="AE186" i="6" s="1"/>
  <c r="AE185" i="6" s="1"/>
  <c r="AE184" i="6" s="1"/>
  <c r="AE183" i="6" s="1"/>
  <c r="AE182" i="6" s="1"/>
  <c r="AE181" i="6" s="1"/>
  <c r="AE180" i="6" s="1"/>
  <c r="AE179" i="6" s="1"/>
  <c r="AE178" i="6" s="1"/>
  <c r="AE177" i="6" s="1"/>
  <c r="AE176" i="6" s="1"/>
  <c r="AE175" i="6" s="1"/>
  <c r="AE174" i="6" s="1"/>
  <c r="AE173" i="6" s="1"/>
  <c r="AE172" i="6" s="1"/>
  <c r="AE171" i="6" s="1"/>
  <c r="AE170" i="6" s="1"/>
  <c r="AE169" i="6" s="1"/>
  <c r="AE168" i="6" s="1"/>
  <c r="AE167" i="6" s="1"/>
  <c r="AE166" i="6" s="1"/>
  <c r="AE165" i="6" s="1"/>
  <c r="AE164" i="6" s="1"/>
  <c r="AE163" i="6" s="1"/>
  <c r="AE162" i="6" s="1"/>
  <c r="AE161" i="6" s="1"/>
  <c r="AE160" i="6" s="1"/>
  <c r="AA192" i="6"/>
  <c r="O192" i="6"/>
  <c r="B38" i="2"/>
  <c r="C37" i="2"/>
  <c r="B39" i="2" l="1"/>
  <c r="C38" i="2"/>
  <c r="C39" i="2" l="1"/>
  <c r="B40" i="2"/>
  <c r="C40" i="2" l="1"/>
  <c r="B41" i="2"/>
  <c r="C41" i="2" l="1"/>
  <c r="B42" i="2"/>
  <c r="C42" i="2" l="1"/>
  <c r="B43" i="2"/>
  <c r="C43" i="2" l="1"/>
  <c r="B44" i="2"/>
  <c r="C44" i="2" l="1"/>
  <c r="B45" i="2"/>
  <c r="B46" i="2" l="1"/>
  <c r="C45" i="2"/>
  <c r="B47" i="2" l="1"/>
  <c r="C46" i="2"/>
  <c r="C47" i="2" l="1"/>
  <c r="B48" i="2"/>
  <c r="C48" i="2" l="1"/>
  <c r="B49" i="2"/>
  <c r="C49" i="2" l="1"/>
  <c r="B50" i="2"/>
  <c r="C50" i="2" l="1"/>
  <c r="B51" i="2"/>
  <c r="O26" i="6"/>
  <c r="O27" i="6"/>
  <c r="O29" i="6"/>
  <c r="O31" i="6"/>
  <c r="O32" i="6"/>
  <c r="W1" i="3" a="1"/>
  <c r="W1" i="3" s="1"/>
  <c r="I1" i="3"/>
  <c r="J1" i="3" s="1" a="1"/>
  <c r="J1" i="3" s="1"/>
  <c r="T3" i="3"/>
  <c r="T77" i="2" s="1"/>
  <c r="T2" i="3"/>
  <c r="U137" i="2" s="1"/>
  <c r="B76" i="2"/>
  <c r="C63" i="10"/>
  <c r="D63" i="10"/>
  <c r="C64" i="10"/>
  <c r="D64" i="10"/>
  <c r="C65" i="10"/>
  <c r="D65" i="10"/>
  <c r="C66" i="10"/>
  <c r="D66" i="10"/>
  <c r="C67" i="10"/>
  <c r="D67" i="10"/>
  <c r="C68" i="10"/>
  <c r="D68" i="10"/>
  <c r="C69" i="10"/>
  <c r="D69" i="10"/>
  <c r="C70" i="10"/>
  <c r="D70" i="10"/>
  <c r="C71" i="10"/>
  <c r="D71" i="10"/>
  <c r="C63" i="8"/>
  <c r="D63" i="8"/>
  <c r="E63" i="8"/>
  <c r="C64" i="8"/>
  <c r="D64" i="8"/>
  <c r="E64" i="8"/>
  <c r="C65" i="8"/>
  <c r="D65" i="8"/>
  <c r="E65" i="8"/>
  <c r="C66" i="8"/>
  <c r="D66" i="8"/>
  <c r="E66" i="8"/>
  <c r="C67" i="8"/>
  <c r="D67" i="8"/>
  <c r="E67" i="8"/>
  <c r="C68" i="8"/>
  <c r="D68" i="8"/>
  <c r="E68" i="8"/>
  <c r="C69" i="8"/>
  <c r="D69" i="8"/>
  <c r="E69" i="8"/>
  <c r="C70" i="8"/>
  <c r="D70" i="8"/>
  <c r="E70" i="8"/>
  <c r="C71" i="8"/>
  <c r="D71" i="8"/>
  <c r="E71" i="8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98" i="2"/>
  <c r="J98" i="2" s="1"/>
  <c r="D27" i="8"/>
  <c r="E27" i="8"/>
  <c r="D27" i="10"/>
  <c r="C27" i="10"/>
  <c r="C28" i="10"/>
  <c r="C29" i="10"/>
  <c r="C30" i="10"/>
  <c r="C27" i="8"/>
  <c r="C28" i="8"/>
  <c r="U120" i="2"/>
  <c r="V119" i="2" l="1"/>
  <c r="U104" i="2"/>
  <c r="U87" i="2"/>
  <c r="V86" i="2"/>
  <c r="V127" i="2"/>
  <c r="V115" i="2"/>
  <c r="V99" i="2"/>
  <c r="V82" i="2"/>
  <c r="V126" i="2"/>
  <c r="U112" i="2"/>
  <c r="U95" i="2"/>
  <c r="U79" i="2"/>
  <c r="V90" i="2"/>
  <c r="V142" i="2"/>
  <c r="V107" i="2"/>
  <c r="U132" i="2"/>
  <c r="W132" i="2" s="1"/>
  <c r="V131" i="2"/>
  <c r="U119" i="2"/>
  <c r="W119" i="2" s="1"/>
  <c r="V103" i="2"/>
  <c r="W103" i="2" s="1"/>
  <c r="U136" i="2"/>
  <c r="U128" i="2"/>
  <c r="U116" i="2"/>
  <c r="U100" i="2"/>
  <c r="U83" i="2"/>
  <c r="V135" i="2"/>
  <c r="U124" i="2"/>
  <c r="V111" i="2"/>
  <c r="V94" i="2"/>
  <c r="V78" i="2"/>
  <c r="V123" i="2"/>
  <c r="U108" i="2"/>
  <c r="U91" i="2"/>
  <c r="W91" i="2" s="1"/>
  <c r="V76" i="2"/>
  <c r="U130" i="2"/>
  <c r="W130" i="2" s="1"/>
  <c r="U126" i="2"/>
  <c r="W126" i="2" s="1"/>
  <c r="U122" i="2"/>
  <c r="W122" i="2" s="1"/>
  <c r="U118" i="2"/>
  <c r="U114" i="2"/>
  <c r="U110" i="2"/>
  <c r="U106" i="2"/>
  <c r="U102" i="2"/>
  <c r="U97" i="2"/>
  <c r="U93" i="2"/>
  <c r="U89" i="2"/>
  <c r="U85" i="2"/>
  <c r="U81" i="2"/>
  <c r="U77" i="2"/>
  <c r="V141" i="2"/>
  <c r="V133" i="2"/>
  <c r="V129" i="2"/>
  <c r="V125" i="2"/>
  <c r="V121" i="2"/>
  <c r="V117" i="2"/>
  <c r="V113" i="2"/>
  <c r="V109" i="2"/>
  <c r="V105" i="2"/>
  <c r="V101" i="2"/>
  <c r="V96" i="2"/>
  <c r="V92" i="2"/>
  <c r="V88" i="2"/>
  <c r="V84" i="2"/>
  <c r="V80" i="2"/>
  <c r="U141" i="2"/>
  <c r="U131" i="2"/>
  <c r="U123" i="2"/>
  <c r="U111" i="2"/>
  <c r="U103" i="2"/>
  <c r="U94" i="2"/>
  <c r="U90" i="2"/>
  <c r="U78" i="2"/>
  <c r="U142" i="2"/>
  <c r="V130" i="2"/>
  <c r="V118" i="2"/>
  <c r="V106" i="2"/>
  <c r="V97" i="2"/>
  <c r="V89" i="2"/>
  <c r="W89" i="2" s="1"/>
  <c r="V77" i="2"/>
  <c r="W77" i="2" s="1"/>
  <c r="U134" i="2"/>
  <c r="U133" i="2"/>
  <c r="U129" i="2"/>
  <c r="U125" i="2"/>
  <c r="U121" i="2"/>
  <c r="U117" i="2"/>
  <c r="U113" i="2"/>
  <c r="U109" i="2"/>
  <c r="U105" i="2"/>
  <c r="U101" i="2"/>
  <c r="U96" i="2"/>
  <c r="U92" i="2"/>
  <c r="U88" i="2"/>
  <c r="U84" i="2"/>
  <c r="U80" i="2"/>
  <c r="V98" i="2"/>
  <c r="V140" i="2"/>
  <c r="U127" i="2"/>
  <c r="U115" i="2"/>
  <c r="U107" i="2"/>
  <c r="U99" i="2"/>
  <c r="U86" i="2"/>
  <c r="W86" i="2" s="1"/>
  <c r="U82" i="2"/>
  <c r="U135" i="2"/>
  <c r="U76" i="2"/>
  <c r="V122" i="2"/>
  <c r="V114" i="2"/>
  <c r="V110" i="2"/>
  <c r="V102" i="2"/>
  <c r="V93" i="2"/>
  <c r="V85" i="2"/>
  <c r="V81" i="2"/>
  <c r="T142" i="2"/>
  <c r="V132" i="2"/>
  <c r="V128" i="2"/>
  <c r="W128" i="2" s="1"/>
  <c r="V124" i="2"/>
  <c r="V120" i="2"/>
  <c r="V116" i="2"/>
  <c r="V112" i="2"/>
  <c r="V108" i="2"/>
  <c r="V104" i="2"/>
  <c r="V100" i="2"/>
  <c r="V95" i="2"/>
  <c r="V91" i="2"/>
  <c r="V87" i="2"/>
  <c r="V83" i="2"/>
  <c r="V79" i="2"/>
  <c r="U98" i="2"/>
  <c r="V138" i="2"/>
  <c r="U140" i="2"/>
  <c r="U139" i="2"/>
  <c r="U138" i="2"/>
  <c r="T131" i="2"/>
  <c r="T119" i="2"/>
  <c r="T107" i="2"/>
  <c r="T96" i="2"/>
  <c r="T86" i="2"/>
  <c r="T78" i="2"/>
  <c r="S131" i="2"/>
  <c r="S121" i="2"/>
  <c r="S111" i="2"/>
  <c r="S101" i="2"/>
  <c r="S88" i="2"/>
  <c r="T141" i="2"/>
  <c r="S132" i="2"/>
  <c r="S130" i="2"/>
  <c r="S128" i="2"/>
  <c r="S126" i="2"/>
  <c r="S124" i="2"/>
  <c r="S122" i="2"/>
  <c r="S120" i="2"/>
  <c r="S118" i="2"/>
  <c r="S116" i="2"/>
  <c r="S114" i="2"/>
  <c r="S112" i="2"/>
  <c r="S110" i="2"/>
  <c r="S108" i="2"/>
  <c r="S106" i="2"/>
  <c r="S104" i="2"/>
  <c r="S102" i="2"/>
  <c r="S100" i="2"/>
  <c r="S97" i="2"/>
  <c r="S95" i="2"/>
  <c r="S93" i="2"/>
  <c r="S91" i="2"/>
  <c r="S89" i="2"/>
  <c r="S87" i="2"/>
  <c r="S85" i="2"/>
  <c r="S83" i="2"/>
  <c r="S81" i="2"/>
  <c r="S79" i="2"/>
  <c r="S77" i="2"/>
  <c r="S140" i="2"/>
  <c r="T123" i="2"/>
  <c r="S80" i="2"/>
  <c r="T139" i="2"/>
  <c r="T129" i="2"/>
  <c r="T121" i="2"/>
  <c r="T115" i="2"/>
  <c r="T109" i="2"/>
  <c r="T101" i="2"/>
  <c r="T92" i="2"/>
  <c r="T84" i="2"/>
  <c r="S127" i="2"/>
  <c r="S119" i="2"/>
  <c r="S113" i="2"/>
  <c r="S105" i="2"/>
  <c r="S96" i="2"/>
  <c r="S90" i="2"/>
  <c r="S84" i="2"/>
  <c r="T98" i="2"/>
  <c r="S98" i="2"/>
  <c r="S141" i="2"/>
  <c r="V137" i="2"/>
  <c r="T135" i="2"/>
  <c r="T133" i="2"/>
  <c r="T127" i="2"/>
  <c r="T117" i="2"/>
  <c r="T111" i="2"/>
  <c r="T105" i="2"/>
  <c r="T99" i="2"/>
  <c r="T90" i="2"/>
  <c r="W90" i="2" s="1"/>
  <c r="T82" i="2"/>
  <c r="S129" i="2"/>
  <c r="S123" i="2"/>
  <c r="S117" i="2"/>
  <c r="S109" i="2"/>
  <c r="S103" i="2"/>
  <c r="S99" i="2"/>
  <c r="S92" i="2"/>
  <c r="S86" i="2"/>
  <c r="S78" i="2"/>
  <c r="S76" i="2"/>
  <c r="W76" i="2" s="1"/>
  <c r="T125" i="2"/>
  <c r="T113" i="2"/>
  <c r="T103" i="2"/>
  <c r="T94" i="2"/>
  <c r="W94" i="2" s="1"/>
  <c r="T88" i="2"/>
  <c r="T80" i="2"/>
  <c r="W80" i="2" s="1"/>
  <c r="S133" i="2"/>
  <c r="S125" i="2"/>
  <c r="S115" i="2"/>
  <c r="S107" i="2"/>
  <c r="S94" i="2"/>
  <c r="S82" i="2"/>
  <c r="T76" i="2"/>
  <c r="T132" i="2"/>
  <c r="T130" i="2"/>
  <c r="T128" i="2"/>
  <c r="T126" i="2"/>
  <c r="T124" i="2"/>
  <c r="T122" i="2"/>
  <c r="T120" i="2"/>
  <c r="T118" i="2"/>
  <c r="T116" i="2"/>
  <c r="T114" i="2"/>
  <c r="T112" i="2"/>
  <c r="T110" i="2"/>
  <c r="T108" i="2"/>
  <c r="T106" i="2"/>
  <c r="T104" i="2"/>
  <c r="T102" i="2"/>
  <c r="W102" i="2" s="1"/>
  <c r="T100" i="2"/>
  <c r="T97" i="2"/>
  <c r="T95" i="2"/>
  <c r="T93" i="2"/>
  <c r="T91" i="2"/>
  <c r="T89" i="2"/>
  <c r="T87" i="2"/>
  <c r="T85" i="2"/>
  <c r="T83" i="2"/>
  <c r="T81" i="2"/>
  <c r="T79" i="2"/>
  <c r="C76" i="2"/>
  <c r="A5" i="10"/>
  <c r="A5" i="8"/>
  <c r="B52" i="2"/>
  <c r="C51" i="2"/>
  <c r="T134" i="2"/>
  <c r="T6" i="2"/>
  <c r="S11" i="2"/>
  <c r="T14" i="2"/>
  <c r="S19" i="2"/>
  <c r="T22" i="2"/>
  <c r="S30" i="2"/>
  <c r="T33" i="2"/>
  <c r="S38" i="2"/>
  <c r="T41" i="2"/>
  <c r="S46" i="2"/>
  <c r="T49" i="2"/>
  <c r="S54" i="2"/>
  <c r="T57" i="2"/>
  <c r="T60" i="2"/>
  <c r="S65" i="2"/>
  <c r="S68" i="2"/>
  <c r="T71" i="2"/>
  <c r="T37" i="2"/>
  <c r="S50" i="2"/>
  <c r="S72" i="2"/>
  <c r="S12" i="2"/>
  <c r="T26" i="2"/>
  <c r="S39" i="2"/>
  <c r="S47" i="2"/>
  <c r="S69" i="2"/>
  <c r="T20" i="2"/>
  <c r="T55" i="2"/>
  <c r="S8" i="2"/>
  <c r="T11" i="2"/>
  <c r="S16" i="2"/>
  <c r="T19" i="2"/>
  <c r="S24" i="2"/>
  <c r="S27" i="2"/>
  <c r="T30" i="2"/>
  <c r="S35" i="2"/>
  <c r="T38" i="2"/>
  <c r="S43" i="2"/>
  <c r="T46" i="2"/>
  <c r="S51" i="2"/>
  <c r="T54" i="2"/>
  <c r="S62" i="2"/>
  <c r="T65" i="2"/>
  <c r="T68" i="2"/>
  <c r="S73" i="2"/>
  <c r="S15" i="2"/>
  <c r="S26" i="2"/>
  <c r="T29" i="2"/>
  <c r="S42" i="2"/>
  <c r="T64" i="2"/>
  <c r="S75" i="2"/>
  <c r="T72" i="2"/>
  <c r="T31" i="2"/>
  <c r="S52" i="2"/>
  <c r="S5" i="2"/>
  <c r="T8" i="2"/>
  <c r="S13" i="2"/>
  <c r="T16" i="2"/>
  <c r="S21" i="2"/>
  <c r="T24" i="2"/>
  <c r="T27" i="2"/>
  <c r="S32" i="2"/>
  <c r="T35" i="2"/>
  <c r="S40" i="2"/>
  <c r="T43" i="2"/>
  <c r="S48" i="2"/>
  <c r="T51" i="2"/>
  <c r="S56" i="2"/>
  <c r="S59" i="2"/>
  <c r="T62" i="2"/>
  <c r="S70" i="2"/>
  <c r="T73" i="2"/>
  <c r="S7" i="2"/>
  <c r="T18" i="2"/>
  <c r="S23" i="2"/>
  <c r="T67" i="2"/>
  <c r="T23" i="2"/>
  <c r="S58" i="2"/>
  <c r="T75" i="2"/>
  <c r="T69" i="2"/>
  <c r="T5" i="2"/>
  <c r="S10" i="2"/>
  <c r="T13" i="2"/>
  <c r="S18" i="2"/>
  <c r="T21" i="2"/>
  <c r="S29" i="2"/>
  <c r="T32" i="2"/>
  <c r="S37" i="2"/>
  <c r="T40" i="2"/>
  <c r="S45" i="2"/>
  <c r="T48" i="2"/>
  <c r="S53" i="2"/>
  <c r="T56" i="2"/>
  <c r="T59" i="2"/>
  <c r="S64" i="2"/>
  <c r="S67" i="2"/>
  <c r="T70" i="2"/>
  <c r="T7" i="2"/>
  <c r="T15" i="2"/>
  <c r="S20" i="2"/>
  <c r="S31" i="2"/>
  <c r="T34" i="2"/>
  <c r="S55" i="2"/>
  <c r="T61" i="2"/>
  <c r="S25" i="2"/>
  <c r="S44" i="2"/>
  <c r="S63" i="2"/>
  <c r="S74" i="2"/>
  <c r="T10" i="2"/>
  <c r="S9" i="2"/>
  <c r="T12" i="2"/>
  <c r="S17" i="2"/>
  <c r="S28" i="2"/>
  <c r="S36" i="2"/>
  <c r="T39" i="2"/>
  <c r="S66" i="2"/>
  <c r="S6" i="2"/>
  <c r="T9" i="2"/>
  <c r="S14" i="2"/>
  <c r="T17" i="2"/>
  <c r="S22" i="2"/>
  <c r="T25" i="2"/>
  <c r="T28" i="2"/>
  <c r="S33" i="2"/>
  <c r="T36" i="2"/>
  <c r="S41" i="2"/>
  <c r="T44" i="2"/>
  <c r="S49" i="2"/>
  <c r="T52" i="2"/>
  <c r="S57" i="2"/>
  <c r="S60" i="2"/>
  <c r="T63" i="2"/>
  <c r="T66" i="2"/>
  <c r="S71" i="2"/>
  <c r="T74" i="2"/>
  <c r="S34" i="2"/>
  <c r="T45" i="2"/>
  <c r="T53" i="2"/>
  <c r="S61" i="2"/>
  <c r="T42" i="2"/>
  <c r="T50" i="2"/>
  <c r="T47" i="2"/>
  <c r="T58" i="2"/>
  <c r="V134" i="2"/>
  <c r="U9" i="2"/>
  <c r="V12" i="2"/>
  <c r="U17" i="2"/>
  <c r="V20" i="2"/>
  <c r="U25" i="2"/>
  <c r="U28" i="2"/>
  <c r="V31" i="2"/>
  <c r="U36" i="2"/>
  <c r="V39" i="2"/>
  <c r="U44" i="2"/>
  <c r="V47" i="2"/>
  <c r="U52" i="2"/>
  <c r="V55" i="2"/>
  <c r="V58" i="2"/>
  <c r="U63" i="2"/>
  <c r="U66" i="2"/>
  <c r="V69" i="2"/>
  <c r="U74" i="2"/>
  <c r="V24" i="2"/>
  <c r="U56" i="2"/>
  <c r="V62" i="2"/>
  <c r="U53" i="2"/>
  <c r="U6" i="2"/>
  <c r="V9" i="2"/>
  <c r="U14" i="2"/>
  <c r="V17" i="2"/>
  <c r="U22" i="2"/>
  <c r="V25" i="2"/>
  <c r="V28" i="2"/>
  <c r="U33" i="2"/>
  <c r="V36" i="2"/>
  <c r="U41" i="2"/>
  <c r="V44" i="2"/>
  <c r="U49" i="2"/>
  <c r="V52" i="2"/>
  <c r="U57" i="2"/>
  <c r="U60" i="2"/>
  <c r="V63" i="2"/>
  <c r="V66" i="2"/>
  <c r="U71" i="2"/>
  <c r="V74" i="2"/>
  <c r="U5" i="2"/>
  <c r="V8" i="2"/>
  <c r="V16" i="2"/>
  <c r="U21" i="2"/>
  <c r="V35" i="2"/>
  <c r="V51" i="2"/>
  <c r="U37" i="2"/>
  <c r="V64" i="2"/>
  <c r="U72" i="2"/>
  <c r="V6" i="2"/>
  <c r="U11" i="2"/>
  <c r="V14" i="2"/>
  <c r="U19" i="2"/>
  <c r="V22" i="2"/>
  <c r="U30" i="2"/>
  <c r="V33" i="2"/>
  <c r="U38" i="2"/>
  <c r="V41" i="2"/>
  <c r="U46" i="2"/>
  <c r="V49" i="2"/>
  <c r="U54" i="2"/>
  <c r="V57" i="2"/>
  <c r="V60" i="2"/>
  <c r="U65" i="2"/>
  <c r="U68" i="2"/>
  <c r="V71" i="2"/>
  <c r="U13" i="2"/>
  <c r="V27" i="2"/>
  <c r="U32" i="2"/>
  <c r="U40" i="2"/>
  <c r="U48" i="2"/>
  <c r="U59" i="2"/>
  <c r="V32" i="2"/>
  <c r="U45" i="2"/>
  <c r="U64" i="2"/>
  <c r="V45" i="2"/>
  <c r="U8" i="2"/>
  <c r="V11" i="2"/>
  <c r="U16" i="2"/>
  <c r="V19" i="2"/>
  <c r="U24" i="2"/>
  <c r="U27" i="2"/>
  <c r="V30" i="2"/>
  <c r="U35" i="2"/>
  <c r="V38" i="2"/>
  <c r="U43" i="2"/>
  <c r="V46" i="2"/>
  <c r="U51" i="2"/>
  <c r="V54" i="2"/>
  <c r="U62" i="2"/>
  <c r="V65" i="2"/>
  <c r="V68" i="2"/>
  <c r="U73" i="2"/>
  <c r="V43" i="2"/>
  <c r="V5" i="2"/>
  <c r="U10" i="2"/>
  <c r="U18" i="2"/>
  <c r="V48" i="2"/>
  <c r="V70" i="2"/>
  <c r="U50" i="2"/>
  <c r="V67" i="2"/>
  <c r="V73" i="2"/>
  <c r="V40" i="2"/>
  <c r="U67" i="2"/>
  <c r="U34" i="2"/>
  <c r="U61" i="2"/>
  <c r="U7" i="2"/>
  <c r="V10" i="2"/>
  <c r="U15" i="2"/>
  <c r="V18" i="2"/>
  <c r="U26" i="2"/>
  <c r="V29" i="2"/>
  <c r="V37" i="2"/>
  <c r="U42" i="2"/>
  <c r="V53" i="2"/>
  <c r="V7" i="2"/>
  <c r="U12" i="2"/>
  <c r="V15" i="2"/>
  <c r="U20" i="2"/>
  <c r="V23" i="2"/>
  <c r="V26" i="2"/>
  <c r="U31" i="2"/>
  <c r="V34" i="2"/>
  <c r="U39" i="2"/>
  <c r="V42" i="2"/>
  <c r="U47" i="2"/>
  <c r="V50" i="2"/>
  <c r="U55" i="2"/>
  <c r="U58" i="2"/>
  <c r="V61" i="2"/>
  <c r="U69" i="2"/>
  <c r="V72" i="2"/>
  <c r="V75" i="2"/>
  <c r="U70" i="2"/>
  <c r="V13" i="2"/>
  <c r="V21" i="2"/>
  <c r="U29" i="2"/>
  <c r="V56" i="2"/>
  <c r="V59" i="2"/>
  <c r="U23" i="2"/>
  <c r="U75" i="2"/>
  <c r="B77" i="2"/>
  <c r="T137" i="2"/>
  <c r="S134" i="2"/>
  <c r="S139" i="2"/>
  <c r="S137" i="2"/>
  <c r="S135" i="2"/>
  <c r="S142" i="2"/>
  <c r="T140" i="2"/>
  <c r="T138" i="2"/>
  <c r="T136" i="2"/>
  <c r="S138" i="2"/>
  <c r="S136" i="2"/>
  <c r="V136" i="2"/>
  <c r="V139" i="2"/>
  <c r="W141" i="2"/>
  <c r="W98" i="2"/>
  <c r="W131" i="2"/>
  <c r="W125" i="2"/>
  <c r="W93" i="2"/>
  <c r="W87" i="2"/>
  <c r="W85" i="2"/>
  <c r="W81" i="2"/>
  <c r="W83" i="2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I99" i="2"/>
  <c r="J99" i="2" s="1"/>
  <c r="I100" i="2"/>
  <c r="J100" i="2" s="1"/>
  <c r="I101" i="2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I126" i="2"/>
  <c r="J126" i="2" s="1"/>
  <c r="I127" i="2"/>
  <c r="J127" i="2" s="1"/>
  <c r="I128" i="2"/>
  <c r="J128" i="2" s="1"/>
  <c r="I129" i="2"/>
  <c r="J129" i="2" s="1"/>
  <c r="I130" i="2"/>
  <c r="I131" i="2"/>
  <c r="D6" i="8"/>
  <c r="E6" i="8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6" i="8"/>
  <c r="E16" i="8"/>
  <c r="D17" i="8"/>
  <c r="E17" i="8"/>
  <c r="D18" i="8"/>
  <c r="E18" i="8"/>
  <c r="D19" i="8"/>
  <c r="E19" i="8"/>
  <c r="D20" i="8"/>
  <c r="E20" i="8"/>
  <c r="D21" i="8"/>
  <c r="E21" i="8"/>
  <c r="D22" i="8"/>
  <c r="E22" i="8"/>
  <c r="D23" i="8"/>
  <c r="E23" i="8"/>
  <c r="D24" i="8"/>
  <c r="E24" i="8"/>
  <c r="D25" i="8"/>
  <c r="E25" i="8"/>
  <c r="D26" i="8"/>
  <c r="E26" i="8"/>
  <c r="D28" i="8"/>
  <c r="E28" i="8"/>
  <c r="D29" i="8"/>
  <c r="E29" i="8"/>
  <c r="D30" i="8"/>
  <c r="E30" i="8"/>
  <c r="D31" i="8"/>
  <c r="E31" i="8"/>
  <c r="D32" i="8"/>
  <c r="E32" i="8"/>
  <c r="D33" i="8"/>
  <c r="E33" i="8"/>
  <c r="D34" i="8"/>
  <c r="E34" i="8"/>
  <c r="D35" i="8"/>
  <c r="E35" i="8"/>
  <c r="D36" i="8"/>
  <c r="E36" i="8"/>
  <c r="D37" i="8"/>
  <c r="E37" i="8"/>
  <c r="D38" i="8"/>
  <c r="E38" i="8"/>
  <c r="D39" i="8"/>
  <c r="E39" i="8"/>
  <c r="D40" i="8"/>
  <c r="E40" i="8"/>
  <c r="D41" i="8"/>
  <c r="E41" i="8"/>
  <c r="D42" i="8"/>
  <c r="E42" i="8"/>
  <c r="D43" i="8"/>
  <c r="E43" i="8"/>
  <c r="D44" i="8"/>
  <c r="E44" i="8"/>
  <c r="D45" i="8"/>
  <c r="E45" i="8"/>
  <c r="D46" i="8"/>
  <c r="E46" i="8"/>
  <c r="D47" i="8"/>
  <c r="E47" i="8"/>
  <c r="D48" i="8"/>
  <c r="E48" i="8"/>
  <c r="D49" i="8"/>
  <c r="E49" i="8"/>
  <c r="D50" i="8"/>
  <c r="E50" i="8"/>
  <c r="D51" i="8"/>
  <c r="E51" i="8"/>
  <c r="D52" i="8"/>
  <c r="E52" i="8"/>
  <c r="D53" i="8"/>
  <c r="E53" i="8"/>
  <c r="D54" i="8"/>
  <c r="E54" i="8"/>
  <c r="D55" i="8"/>
  <c r="E55" i="8"/>
  <c r="D56" i="8"/>
  <c r="E56" i="8"/>
  <c r="D57" i="8"/>
  <c r="E57" i="8"/>
  <c r="D58" i="8"/>
  <c r="E58" i="8"/>
  <c r="D59" i="8"/>
  <c r="E59" i="8"/>
  <c r="D60" i="8"/>
  <c r="E60" i="8"/>
  <c r="D61" i="8"/>
  <c r="E61" i="8"/>
  <c r="D62" i="8"/>
  <c r="E62" i="8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5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E5" i="8"/>
  <c r="D5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3" i="8"/>
  <c r="I76" i="2"/>
  <c r="J76" i="2" s="1"/>
  <c r="W110" i="2" l="1"/>
  <c r="W104" i="2"/>
  <c r="W96" i="2"/>
  <c r="W114" i="2"/>
  <c r="W108" i="2"/>
  <c r="W112" i="2"/>
  <c r="W116" i="2"/>
  <c r="W127" i="2"/>
  <c r="W120" i="2"/>
  <c r="W113" i="2"/>
  <c r="W124" i="2"/>
  <c r="W118" i="2"/>
  <c r="W133" i="2"/>
  <c r="W78" i="2"/>
  <c r="W135" i="2"/>
  <c r="W82" i="2"/>
  <c r="W129" i="2"/>
  <c r="W88" i="2"/>
  <c r="W100" i="2"/>
  <c r="W92" i="2"/>
  <c r="W99" i="2"/>
  <c r="W101" i="2"/>
  <c r="W105" i="2"/>
  <c r="W109" i="2"/>
  <c r="W107" i="2"/>
  <c r="W117" i="2"/>
  <c r="W115" i="2"/>
  <c r="W97" i="2"/>
  <c r="W106" i="2"/>
  <c r="W121" i="2"/>
  <c r="W79" i="2"/>
  <c r="W84" i="2"/>
  <c r="W123" i="2"/>
  <c r="W95" i="2"/>
  <c r="W111" i="2"/>
  <c r="W140" i="2"/>
  <c r="W142" i="2"/>
  <c r="W48" i="2"/>
  <c r="W43" i="2"/>
  <c r="W42" i="2"/>
  <c r="A6" i="8"/>
  <c r="A6" i="10"/>
  <c r="W15" i="2"/>
  <c r="W18" i="2"/>
  <c r="W11" i="2"/>
  <c r="W57" i="2"/>
  <c r="W22" i="2"/>
  <c r="W51" i="2"/>
  <c r="W36" i="2"/>
  <c r="W31" i="2"/>
  <c r="W72" i="2"/>
  <c r="W7" i="2"/>
  <c r="W10" i="2"/>
  <c r="W68" i="2"/>
  <c r="W45" i="2"/>
  <c r="W27" i="2"/>
  <c r="W49" i="2"/>
  <c r="W14" i="2"/>
  <c r="W28" i="2"/>
  <c r="W62" i="2"/>
  <c r="W55" i="2"/>
  <c r="N76" i="2"/>
  <c r="O76" i="2" s="1"/>
  <c r="P76" i="2" s="1"/>
  <c r="B5" i="10"/>
  <c r="B5" i="8"/>
  <c r="C52" i="2"/>
  <c r="B53" i="2"/>
  <c r="W73" i="2"/>
  <c r="W66" i="2"/>
  <c r="W134" i="2"/>
  <c r="W13" i="2"/>
  <c r="W67" i="2"/>
  <c r="W38" i="2"/>
  <c r="W63" i="2"/>
  <c r="W58" i="2"/>
  <c r="W56" i="2"/>
  <c r="W24" i="2"/>
  <c r="W75" i="2"/>
  <c r="W35" i="2"/>
  <c r="W59" i="2"/>
  <c r="W34" i="2"/>
  <c r="W53" i="2"/>
  <c r="W70" i="2"/>
  <c r="W65" i="2"/>
  <c r="W30" i="2"/>
  <c r="W16" i="2"/>
  <c r="W25" i="2"/>
  <c r="W20" i="2"/>
  <c r="W61" i="2"/>
  <c r="W71" i="2"/>
  <c r="W41" i="2"/>
  <c r="W6" i="2"/>
  <c r="W8" i="2"/>
  <c r="W52" i="2"/>
  <c r="W47" i="2"/>
  <c r="W26" i="2"/>
  <c r="W37" i="2"/>
  <c r="W54" i="2"/>
  <c r="W32" i="2"/>
  <c r="W17" i="2"/>
  <c r="W12" i="2"/>
  <c r="W21" i="2"/>
  <c r="W23" i="2"/>
  <c r="W29" i="2"/>
  <c r="W19" i="2"/>
  <c r="W33" i="2"/>
  <c r="W64" i="2"/>
  <c r="W74" i="2"/>
  <c r="W44" i="2"/>
  <c r="W69" i="2"/>
  <c r="W39" i="2"/>
  <c r="W50" i="2"/>
  <c r="W40" i="2"/>
  <c r="W5" i="2"/>
  <c r="W46" i="2"/>
  <c r="W60" i="2"/>
  <c r="W9" i="2"/>
  <c r="B78" i="2"/>
  <c r="C77" i="2"/>
  <c r="W137" i="2"/>
  <c r="W139" i="2"/>
  <c r="W138" i="2"/>
  <c r="W136" i="2"/>
  <c r="J125" i="2"/>
  <c r="J117" i="2"/>
  <c r="J109" i="2"/>
  <c r="J101" i="2"/>
  <c r="J131" i="2"/>
  <c r="J130" i="2"/>
  <c r="J97" i="2"/>
  <c r="F3" i="6"/>
  <c r="A1" i="7"/>
  <c r="B14" i="5"/>
  <c r="I1" i="6"/>
  <c r="B54" i="2" l="1"/>
  <c r="C53" i="2"/>
  <c r="B6" i="10"/>
  <c r="B6" i="8"/>
  <c r="L76" i="2"/>
  <c r="A7" i="10"/>
  <c r="A7" i="8"/>
  <c r="K76" i="2"/>
  <c r="B79" i="2"/>
  <c r="C78" i="2"/>
  <c r="Q1" i="4"/>
  <c r="M76" i="2" l="1"/>
  <c r="Q76" i="2" s="1"/>
  <c r="N77" i="2"/>
  <c r="O77" i="2" s="1"/>
  <c r="P77" i="2" s="1"/>
  <c r="B7" i="10"/>
  <c r="N78" i="2" s="1"/>
  <c r="O78" i="2" s="1"/>
  <c r="P78" i="2" s="1"/>
  <c r="B7" i="8"/>
  <c r="K78" i="2" s="1"/>
  <c r="A8" i="10"/>
  <c r="A8" i="8"/>
  <c r="K77" i="2"/>
  <c r="L77" i="2"/>
  <c r="C54" i="2"/>
  <c r="B55" i="2"/>
  <c r="B80" i="2"/>
  <c r="C79" i="2"/>
  <c r="F1" i="4"/>
  <c r="L78" i="2" l="1"/>
  <c r="M78" i="2" s="1"/>
  <c r="Q78" i="2" s="1"/>
  <c r="B56" i="2"/>
  <c r="C55" i="2"/>
  <c r="M77" i="2"/>
  <c r="Q77" i="2" s="1"/>
  <c r="B8" i="10"/>
  <c r="B8" i="8"/>
  <c r="A9" i="10"/>
  <c r="A9" i="8"/>
  <c r="B81" i="2"/>
  <c r="C80" i="2"/>
  <c r="L1" i="5"/>
  <c r="M3" i="5" s="1"/>
  <c r="N3" i="5" s="1"/>
  <c r="B9" i="10" l="1"/>
  <c r="B9" i="8"/>
  <c r="K80" i="2" s="1"/>
  <c r="K79" i="2"/>
  <c r="L79" i="2"/>
  <c r="C56" i="2"/>
  <c r="B57" i="2"/>
  <c r="N79" i="2"/>
  <c r="O79" i="2" s="1"/>
  <c r="P79" i="2" s="1"/>
  <c r="A10" i="8"/>
  <c r="A10" i="10"/>
  <c r="B82" i="2"/>
  <c r="C81" i="2"/>
  <c r="M5" i="5"/>
  <c r="N5" i="5" s="1"/>
  <c r="M8" i="5"/>
  <c r="N8" i="5" s="1"/>
  <c r="M4" i="5"/>
  <c r="N4" i="5" s="1"/>
  <c r="M2" i="5"/>
  <c r="N2" i="5" s="1"/>
  <c r="M6" i="5"/>
  <c r="N6" i="5" s="1"/>
  <c r="M7" i="5"/>
  <c r="N7" i="5" s="1"/>
  <c r="M79" i="2" l="1"/>
  <c r="Q79" i="2" s="1"/>
  <c r="A11" i="10"/>
  <c r="A11" i="8"/>
  <c r="L80" i="2"/>
  <c r="M80" i="2" s="1"/>
  <c r="Q80" i="2" s="1"/>
  <c r="B10" i="8"/>
  <c r="L81" i="2" s="1"/>
  <c r="B10" i="10"/>
  <c r="N81" i="2" s="1"/>
  <c r="O81" i="2" s="1"/>
  <c r="P81" i="2" s="1"/>
  <c r="N80" i="2"/>
  <c r="O80" i="2" s="1"/>
  <c r="P80" i="2" s="1"/>
  <c r="C57" i="2"/>
  <c r="B58" i="2"/>
  <c r="B83" i="2"/>
  <c r="C82" i="2"/>
  <c r="C58" i="2" l="1"/>
  <c r="B59" i="2"/>
  <c r="K81" i="2"/>
  <c r="M81" i="2" s="1"/>
  <c r="Q81" i="2" s="1"/>
  <c r="B11" i="8"/>
  <c r="L82" i="2" s="1"/>
  <c r="K82" i="2"/>
  <c r="N82" i="2"/>
  <c r="O82" i="2" s="1"/>
  <c r="P82" i="2" s="1"/>
  <c r="B11" i="10"/>
  <c r="A12" i="8"/>
  <c r="A12" i="10"/>
  <c r="B84" i="2"/>
  <c r="C83" i="2"/>
  <c r="B4" i="6"/>
  <c r="F1" i="5"/>
  <c r="I4" i="6" l="1"/>
  <c r="M82" i="2"/>
  <c r="Q82" i="2" s="1"/>
  <c r="A13" i="8"/>
  <c r="A13" i="10"/>
  <c r="B60" i="2"/>
  <c r="C59" i="2"/>
  <c r="B12" i="8"/>
  <c r="K83" i="2"/>
  <c r="B12" i="10"/>
  <c r="N83" i="2" s="1"/>
  <c r="O83" i="2" s="1"/>
  <c r="P83" i="2" s="1"/>
  <c r="C4" i="6"/>
  <c r="D4" i="6" s="1"/>
  <c r="Y4" i="6" s="1"/>
  <c r="B85" i="2"/>
  <c r="C84" i="2"/>
  <c r="T1" i="6"/>
  <c r="B37" i="6"/>
  <c r="B36" i="6"/>
  <c r="B5" i="6"/>
  <c r="E4" i="6"/>
  <c r="F4" i="6" s="1"/>
  <c r="Q36" i="4"/>
  <c r="P36" i="4"/>
  <c r="O36" i="4"/>
  <c r="N36" i="4"/>
  <c r="M36" i="4"/>
  <c r="G4" i="6" l="1"/>
  <c r="K4" i="6" s="1"/>
  <c r="I5" i="6"/>
  <c r="L83" i="2"/>
  <c r="M83" i="2" s="1"/>
  <c r="Q83" i="2" s="1"/>
  <c r="B13" i="10"/>
  <c r="N84" i="2" s="1"/>
  <c r="O84" i="2" s="1"/>
  <c r="P84" i="2" s="1"/>
  <c r="B13" i="8"/>
  <c r="L84" i="2" s="1"/>
  <c r="A14" i="8"/>
  <c r="A14" i="10"/>
  <c r="C60" i="2"/>
  <c r="B61" i="2"/>
  <c r="C5" i="6"/>
  <c r="D5" i="6" s="1"/>
  <c r="X5" i="6" s="1"/>
  <c r="Z4" i="6"/>
  <c r="X4" i="6"/>
  <c r="W4" i="6"/>
  <c r="U4" i="6"/>
  <c r="T4" i="6"/>
  <c r="S4" i="6"/>
  <c r="V4" i="6"/>
  <c r="B86" i="2"/>
  <c r="C85" i="2"/>
  <c r="E5" i="6"/>
  <c r="G5" i="6" s="1"/>
  <c r="K5" i="6" s="1"/>
  <c r="B6" i="6"/>
  <c r="R4" i="6" l="1"/>
  <c r="R5" i="6"/>
  <c r="AB5" i="6"/>
  <c r="I6" i="6"/>
  <c r="AB4" i="6"/>
  <c r="A15" i="10"/>
  <c r="A15" i="8"/>
  <c r="K84" i="2"/>
  <c r="M84" i="2" s="1"/>
  <c r="Q84" i="2" s="1"/>
  <c r="B14" i="10"/>
  <c r="N85" i="2" s="1"/>
  <c r="O85" i="2" s="1"/>
  <c r="P85" i="2" s="1"/>
  <c r="B14" i="8"/>
  <c r="K85" i="2" s="1"/>
  <c r="C61" i="2"/>
  <c r="B62" i="2"/>
  <c r="V5" i="6"/>
  <c r="U5" i="6"/>
  <c r="W5" i="6"/>
  <c r="Y5" i="6"/>
  <c r="T5" i="6"/>
  <c r="S5" i="6"/>
  <c r="Z5" i="6"/>
  <c r="C6" i="6"/>
  <c r="D6" i="6" s="1"/>
  <c r="B87" i="2"/>
  <c r="C86" i="2"/>
  <c r="H4" i="6"/>
  <c r="F5" i="6"/>
  <c r="B7" i="6"/>
  <c r="E6" i="6"/>
  <c r="F6" i="6" s="1"/>
  <c r="L5" i="6" l="1"/>
  <c r="M5" i="6"/>
  <c r="M4" i="6"/>
  <c r="L4" i="6"/>
  <c r="AB6" i="6"/>
  <c r="G6" i="6"/>
  <c r="K6" i="6" s="1"/>
  <c r="R6" i="6"/>
  <c r="U6" i="6"/>
  <c r="T6" i="6"/>
  <c r="I7" i="6"/>
  <c r="H5" i="6"/>
  <c r="A16" i="10"/>
  <c r="A16" i="8"/>
  <c r="L85" i="2"/>
  <c r="M85" i="2" s="1"/>
  <c r="Q85" i="2" s="1"/>
  <c r="B15" i="10"/>
  <c r="N86" i="2" s="1"/>
  <c r="O86" i="2" s="1"/>
  <c r="P86" i="2" s="1"/>
  <c r="B15" i="8"/>
  <c r="L86" i="2" s="1"/>
  <c r="C62" i="2"/>
  <c r="B63" i="2"/>
  <c r="Z6" i="6"/>
  <c r="W6" i="6"/>
  <c r="S6" i="6"/>
  <c r="Y6" i="6"/>
  <c r="X6" i="6"/>
  <c r="V6" i="6"/>
  <c r="C7" i="6"/>
  <c r="D7" i="6" s="1"/>
  <c r="B88" i="2"/>
  <c r="C87" i="2"/>
  <c r="B8" i="6"/>
  <c r="E7" i="6"/>
  <c r="F7" i="6" s="1"/>
  <c r="N4" i="6" l="1"/>
  <c r="O4" i="6" s="1"/>
  <c r="P4" i="6"/>
  <c r="Q4" i="6" s="1"/>
  <c r="AD5" i="6"/>
  <c r="L6" i="6"/>
  <c r="M6" i="6"/>
  <c r="AD4" i="6"/>
  <c r="R7" i="6"/>
  <c r="G7" i="6"/>
  <c r="K7" i="6" s="1"/>
  <c r="Z7" i="6"/>
  <c r="U7" i="6"/>
  <c r="AB7" i="6"/>
  <c r="I8" i="6"/>
  <c r="K86" i="2"/>
  <c r="M86" i="2" s="1"/>
  <c r="Q86" i="2" s="1"/>
  <c r="C63" i="2"/>
  <c r="B64" i="2"/>
  <c r="B16" i="10"/>
  <c r="N87" i="2" s="1"/>
  <c r="O87" i="2" s="1"/>
  <c r="P87" i="2" s="1"/>
  <c r="B16" i="8"/>
  <c r="L87" i="2" s="1"/>
  <c r="A17" i="10"/>
  <c r="A17" i="8"/>
  <c r="C8" i="6"/>
  <c r="D8" i="6" s="1"/>
  <c r="X8" i="6" s="1"/>
  <c r="W7" i="6"/>
  <c r="X7" i="6"/>
  <c r="Y7" i="6"/>
  <c r="V7" i="6"/>
  <c r="S7" i="6"/>
  <c r="T7" i="6"/>
  <c r="B89" i="2"/>
  <c r="C88" i="2"/>
  <c r="H6" i="6"/>
  <c r="B9" i="6"/>
  <c r="E8" i="6"/>
  <c r="F8" i="6" s="1"/>
  <c r="N5" i="6" l="1"/>
  <c r="O5" i="6" s="1"/>
  <c r="P5" i="6"/>
  <c r="Q5" i="6" s="1"/>
  <c r="AD6" i="6"/>
  <c r="L7" i="6"/>
  <c r="M7" i="6"/>
  <c r="R8" i="6"/>
  <c r="G8" i="6"/>
  <c r="K8" i="6" s="1"/>
  <c r="I9" i="6"/>
  <c r="AB8" i="6"/>
  <c r="C9" i="6"/>
  <c r="D9" i="6" s="1"/>
  <c r="W9" i="6" s="1"/>
  <c r="B17" i="10"/>
  <c r="N88" i="2" s="1"/>
  <c r="O88" i="2" s="1"/>
  <c r="P88" i="2" s="1"/>
  <c r="B17" i="8"/>
  <c r="K88" i="2" s="1"/>
  <c r="K87" i="2"/>
  <c r="M87" i="2" s="1"/>
  <c r="Q87" i="2" s="1"/>
  <c r="A18" i="10"/>
  <c r="A18" i="8"/>
  <c r="C64" i="2"/>
  <c r="B65" i="2"/>
  <c r="V8" i="6"/>
  <c r="W8" i="6"/>
  <c r="U8" i="6"/>
  <c r="T8" i="6"/>
  <c r="Y8" i="6"/>
  <c r="S8" i="6"/>
  <c r="Z8" i="6"/>
  <c r="B90" i="2"/>
  <c r="C89" i="2"/>
  <c r="H7" i="6"/>
  <c r="E9" i="6"/>
  <c r="F9" i="6" s="1"/>
  <c r="B10" i="6"/>
  <c r="N6" i="6" l="1"/>
  <c r="O6" i="6" s="1"/>
  <c r="AD7" i="6"/>
  <c r="P6" i="6"/>
  <c r="Q6" i="6" s="1"/>
  <c r="L8" i="6"/>
  <c r="M8" i="6"/>
  <c r="T9" i="6"/>
  <c r="U9" i="6"/>
  <c r="S9" i="6"/>
  <c r="Y9" i="6"/>
  <c r="V9" i="6"/>
  <c r="G9" i="6"/>
  <c r="K9" i="6" s="1"/>
  <c r="I10" i="6"/>
  <c r="X9" i="6"/>
  <c r="Z9" i="6"/>
  <c r="L88" i="2"/>
  <c r="M88" i="2" s="1"/>
  <c r="Q88" i="2" s="1"/>
  <c r="B18" i="8"/>
  <c r="K89" i="2" s="1"/>
  <c r="B18" i="10"/>
  <c r="N89" i="2" s="1"/>
  <c r="O89" i="2" s="1"/>
  <c r="P89" i="2" s="1"/>
  <c r="A19" i="10"/>
  <c r="A19" i="8"/>
  <c r="C65" i="2"/>
  <c r="B66" i="2"/>
  <c r="C10" i="6"/>
  <c r="D10" i="6" s="1"/>
  <c r="W10" i="6" s="1"/>
  <c r="B91" i="2"/>
  <c r="C90" i="2"/>
  <c r="H8" i="6"/>
  <c r="E10" i="6"/>
  <c r="F10" i="6" s="1"/>
  <c r="B11" i="6"/>
  <c r="N7" i="6" l="1"/>
  <c r="O7" i="6" s="1"/>
  <c r="P7" i="6"/>
  <c r="Q7" i="6" s="1"/>
  <c r="AD8" i="6"/>
  <c r="AB9" i="6"/>
  <c r="AB10" i="6"/>
  <c r="R9" i="6"/>
  <c r="R10" i="6"/>
  <c r="G10" i="6"/>
  <c r="K10" i="6" s="1"/>
  <c r="I11" i="6"/>
  <c r="T10" i="6"/>
  <c r="V10" i="6"/>
  <c r="U10" i="6"/>
  <c r="L89" i="2"/>
  <c r="M89" i="2" s="1"/>
  <c r="Q89" i="2" s="1"/>
  <c r="B19" i="8"/>
  <c r="L90" i="2" s="1"/>
  <c r="B19" i="10"/>
  <c r="N90" i="2" s="1"/>
  <c r="O90" i="2" s="1"/>
  <c r="P90" i="2" s="1"/>
  <c r="B67" i="2"/>
  <c r="C66" i="2"/>
  <c r="A20" i="8"/>
  <c r="A20" i="10"/>
  <c r="S10" i="6"/>
  <c r="Z10" i="6"/>
  <c r="C11" i="6"/>
  <c r="D11" i="6" s="1"/>
  <c r="Y10" i="6"/>
  <c r="X10" i="6"/>
  <c r="B92" i="2"/>
  <c r="C91" i="2"/>
  <c r="H9" i="6"/>
  <c r="B12" i="6"/>
  <c r="E11" i="6"/>
  <c r="F11" i="6" s="1"/>
  <c r="L9" i="6" l="1"/>
  <c r="M9" i="6"/>
  <c r="L10" i="6"/>
  <c r="M10" i="6"/>
  <c r="AD10" i="6"/>
  <c r="V11" i="6"/>
  <c r="T11" i="6"/>
  <c r="G11" i="6"/>
  <c r="K11" i="6" s="1"/>
  <c r="I12" i="6"/>
  <c r="K90" i="2"/>
  <c r="M90" i="2" s="1"/>
  <c r="Q90" i="2" s="1"/>
  <c r="B20" i="8"/>
  <c r="L91" i="2" s="1"/>
  <c r="K91" i="2"/>
  <c r="B20" i="10"/>
  <c r="N91" i="2" s="1"/>
  <c r="O91" i="2" s="1"/>
  <c r="P91" i="2" s="1"/>
  <c r="C67" i="2"/>
  <c r="B68" i="2"/>
  <c r="A21" i="8"/>
  <c r="A21" i="10"/>
  <c r="U11" i="6"/>
  <c r="C12" i="6"/>
  <c r="D12" i="6" s="1"/>
  <c r="T12" i="6" s="1"/>
  <c r="S11" i="6"/>
  <c r="Z11" i="6"/>
  <c r="Y11" i="6"/>
  <c r="W11" i="6"/>
  <c r="X11" i="6"/>
  <c r="B93" i="2"/>
  <c r="C92" i="2"/>
  <c r="H10" i="6"/>
  <c r="E12" i="6"/>
  <c r="G12" i="6" s="1"/>
  <c r="K12" i="6" s="1"/>
  <c r="B13" i="6"/>
  <c r="N9" i="6" l="1"/>
  <c r="O9" i="6" s="1"/>
  <c r="N8" i="6"/>
  <c r="O8" i="6" s="1"/>
  <c r="AD9" i="6"/>
  <c r="P9" i="6"/>
  <c r="Q9" i="6" s="1"/>
  <c r="P8" i="6"/>
  <c r="Q8" i="6" s="1"/>
  <c r="AB11" i="6"/>
  <c r="R12" i="6"/>
  <c r="R11" i="6"/>
  <c r="I13" i="6"/>
  <c r="U12" i="6"/>
  <c r="V12" i="6"/>
  <c r="S12" i="6"/>
  <c r="Y12" i="6"/>
  <c r="Z12" i="6"/>
  <c r="C68" i="2"/>
  <c r="B69" i="2"/>
  <c r="B21" i="10"/>
  <c r="B21" i="8"/>
  <c r="L92" i="2" s="1"/>
  <c r="N92" i="2"/>
  <c r="O92" i="2" s="1"/>
  <c r="P92" i="2" s="1"/>
  <c r="A22" i="8"/>
  <c r="A22" i="10"/>
  <c r="M91" i="2"/>
  <c r="Q91" i="2" s="1"/>
  <c r="X12" i="6"/>
  <c r="W12" i="6"/>
  <c r="C13" i="6"/>
  <c r="D13" i="6" s="1"/>
  <c r="B94" i="2"/>
  <c r="C93" i="2"/>
  <c r="H11" i="6"/>
  <c r="F12" i="6"/>
  <c r="E13" i="6"/>
  <c r="F13" i="6" s="1"/>
  <c r="B14" i="6"/>
  <c r="L11" i="6" l="1"/>
  <c r="M11" i="6"/>
  <c r="L12" i="6"/>
  <c r="M12" i="6"/>
  <c r="R13" i="6"/>
  <c r="AB13" i="6"/>
  <c r="G13" i="6"/>
  <c r="K13" i="6" s="1"/>
  <c r="I14" i="6"/>
  <c r="AB12" i="6"/>
  <c r="H12" i="6"/>
  <c r="W13" i="6"/>
  <c r="Z13" i="6"/>
  <c r="T13" i="6"/>
  <c r="V13" i="6"/>
  <c r="Y13" i="6"/>
  <c r="X13" i="6"/>
  <c r="S13" i="6"/>
  <c r="U13" i="6"/>
  <c r="K92" i="2"/>
  <c r="M92" i="2" s="1"/>
  <c r="Q92" i="2" s="1"/>
  <c r="B70" i="2"/>
  <c r="C69" i="2"/>
  <c r="B22" i="10"/>
  <c r="N93" i="2" s="1"/>
  <c r="O93" i="2" s="1"/>
  <c r="P93" i="2" s="1"/>
  <c r="B22" i="8"/>
  <c r="L93" i="2" s="1"/>
  <c r="K93" i="2"/>
  <c r="A23" i="10"/>
  <c r="A23" i="8"/>
  <c r="C14" i="6"/>
  <c r="D14" i="6" s="1"/>
  <c r="B95" i="2"/>
  <c r="C94" i="2"/>
  <c r="B15" i="6"/>
  <c r="E14" i="6"/>
  <c r="F14" i="6" s="1"/>
  <c r="N11" i="6" l="1"/>
  <c r="O11" i="6" s="1"/>
  <c r="N10" i="6"/>
  <c r="O10" i="6" s="1"/>
  <c r="P11" i="6"/>
  <c r="Q11" i="6" s="1"/>
  <c r="P10" i="6"/>
  <c r="Q10" i="6" s="1"/>
  <c r="AD12" i="6"/>
  <c r="AD11" i="6"/>
  <c r="L13" i="6"/>
  <c r="M13" i="6"/>
  <c r="R14" i="6"/>
  <c r="G14" i="6"/>
  <c r="K14" i="6" s="1"/>
  <c r="AB14" i="6"/>
  <c r="I15" i="6"/>
  <c r="M93" i="2"/>
  <c r="Q93" i="2" s="1"/>
  <c r="B23" i="10"/>
  <c r="N94" i="2" s="1"/>
  <c r="O94" i="2" s="1"/>
  <c r="P94" i="2" s="1"/>
  <c r="B23" i="8"/>
  <c r="K94" i="2" s="1"/>
  <c r="A24" i="10"/>
  <c r="A24" i="8"/>
  <c r="B71" i="2"/>
  <c r="C70" i="2"/>
  <c r="C15" i="6"/>
  <c r="D15" i="6" s="1"/>
  <c r="B96" i="2"/>
  <c r="C95" i="2"/>
  <c r="H13" i="6"/>
  <c r="B16" i="6"/>
  <c r="E15" i="6"/>
  <c r="F15" i="6" s="1"/>
  <c r="N12" i="6" l="1"/>
  <c r="O12" i="6" s="1"/>
  <c r="AD13" i="6"/>
  <c r="P12" i="6"/>
  <c r="Q12" i="6" s="1"/>
  <c r="L14" i="6"/>
  <c r="M14" i="6"/>
  <c r="R15" i="6"/>
  <c r="G15" i="6"/>
  <c r="K15" i="6" s="1"/>
  <c r="I16" i="6"/>
  <c r="AB15" i="6"/>
  <c r="X15" i="6"/>
  <c r="Y15" i="6"/>
  <c r="T15" i="6"/>
  <c r="Z15" i="6"/>
  <c r="S15" i="6"/>
  <c r="V15" i="6"/>
  <c r="U15" i="6"/>
  <c r="W15" i="6"/>
  <c r="L94" i="2"/>
  <c r="M94" i="2" s="1"/>
  <c r="Q94" i="2" s="1"/>
  <c r="B72" i="2"/>
  <c r="C71" i="2"/>
  <c r="B24" i="8"/>
  <c r="L95" i="2" s="1"/>
  <c r="B24" i="10"/>
  <c r="N95" i="2" s="1"/>
  <c r="O95" i="2" s="1"/>
  <c r="P95" i="2" s="1"/>
  <c r="K95" i="2"/>
  <c r="A25" i="10"/>
  <c r="A25" i="8"/>
  <c r="C16" i="6"/>
  <c r="D16" i="6" s="1"/>
  <c r="B97" i="2"/>
  <c r="C96" i="2"/>
  <c r="H14" i="6"/>
  <c r="B17" i="6"/>
  <c r="E16" i="6"/>
  <c r="F16" i="6" s="1"/>
  <c r="N13" i="6" l="1"/>
  <c r="O13" i="6" s="1"/>
  <c r="P13" i="6"/>
  <c r="Q13" i="6" s="1"/>
  <c r="L15" i="6"/>
  <c r="M15" i="6"/>
  <c r="R16" i="6"/>
  <c r="G16" i="6"/>
  <c r="K16" i="6" s="1"/>
  <c r="AB16" i="6"/>
  <c r="I17" i="6"/>
  <c r="Y16" i="6"/>
  <c r="Z16" i="6"/>
  <c r="S16" i="6"/>
  <c r="W16" i="6"/>
  <c r="T16" i="6"/>
  <c r="X16" i="6"/>
  <c r="U16" i="6"/>
  <c r="V16" i="6"/>
  <c r="M95" i="2"/>
  <c r="Q95" i="2" s="1"/>
  <c r="B25" i="10"/>
  <c r="N96" i="2" s="1"/>
  <c r="O96" i="2" s="1"/>
  <c r="P96" i="2" s="1"/>
  <c r="B25" i="8"/>
  <c r="L96" i="2" s="1"/>
  <c r="A26" i="10"/>
  <c r="A26" i="8"/>
  <c r="B73" i="2"/>
  <c r="C72" i="2"/>
  <c r="C17" i="6"/>
  <c r="D17" i="6" s="1"/>
  <c r="B98" i="2"/>
  <c r="C97" i="2"/>
  <c r="H15" i="6"/>
  <c r="E17" i="6"/>
  <c r="F17" i="6" s="1"/>
  <c r="B18" i="6"/>
  <c r="N14" i="6" l="1"/>
  <c r="O14" i="6" s="1"/>
  <c r="AD15" i="6"/>
  <c r="P14" i="6"/>
  <c r="Q14" i="6" s="1"/>
  <c r="M16" i="6"/>
  <c r="L16" i="6"/>
  <c r="R17" i="6"/>
  <c r="G17" i="6"/>
  <c r="K17" i="6" s="1"/>
  <c r="AB17" i="6"/>
  <c r="I18" i="6"/>
  <c r="Y17" i="6"/>
  <c r="Z17" i="6"/>
  <c r="S17" i="6"/>
  <c r="V17" i="6"/>
  <c r="X17" i="6"/>
  <c r="T17" i="6"/>
  <c r="W17" i="6"/>
  <c r="U17" i="6"/>
  <c r="K96" i="2"/>
  <c r="M96" i="2" s="1"/>
  <c r="Q96" i="2" s="1"/>
  <c r="C73" i="2"/>
  <c r="B74" i="2"/>
  <c r="B26" i="8"/>
  <c r="K97" i="2" s="1"/>
  <c r="B26" i="10"/>
  <c r="N97" i="2" s="1"/>
  <c r="O97" i="2" s="1"/>
  <c r="P97" i="2" s="1"/>
  <c r="A27" i="10"/>
  <c r="A27" i="8"/>
  <c r="C18" i="6"/>
  <c r="D18" i="6" s="1"/>
  <c r="B99" i="2"/>
  <c r="C98" i="2"/>
  <c r="H16" i="6"/>
  <c r="B19" i="6"/>
  <c r="E18" i="6"/>
  <c r="F18" i="6" s="1"/>
  <c r="N15" i="6" l="1"/>
  <c r="O15" i="6" s="1"/>
  <c r="P15" i="6"/>
  <c r="Q15" i="6" s="1"/>
  <c r="AD16" i="6"/>
  <c r="M17" i="6"/>
  <c r="L17" i="6"/>
  <c r="R18" i="6"/>
  <c r="G18" i="6"/>
  <c r="K18" i="6" s="1"/>
  <c r="AB18" i="6"/>
  <c r="I19" i="6"/>
  <c r="L97" i="2"/>
  <c r="M97" i="2" s="1"/>
  <c r="Q97" i="2" s="1"/>
  <c r="X18" i="6"/>
  <c r="S18" i="6"/>
  <c r="T18" i="6"/>
  <c r="U18" i="6"/>
  <c r="Z18" i="6"/>
  <c r="V18" i="6"/>
  <c r="W18" i="6"/>
  <c r="Y18" i="6"/>
  <c r="B27" i="8"/>
  <c r="L98" i="2" s="1"/>
  <c r="B27" i="10"/>
  <c r="N98" i="2" s="1"/>
  <c r="O98" i="2" s="1"/>
  <c r="P98" i="2" s="1"/>
  <c r="A28" i="8"/>
  <c r="A28" i="10"/>
  <c r="C74" i="2"/>
  <c r="B75" i="2"/>
  <c r="C75" i="2" s="1"/>
  <c r="C19" i="6"/>
  <c r="D19" i="6" s="1"/>
  <c r="V19" i="6" s="1"/>
  <c r="B100" i="2"/>
  <c r="C99" i="2"/>
  <c r="H17" i="6"/>
  <c r="B20" i="6"/>
  <c r="E19" i="6"/>
  <c r="G19" i="6" s="1"/>
  <c r="K19" i="6" s="1"/>
  <c r="N16" i="6" l="1"/>
  <c r="O16" i="6" s="1"/>
  <c r="P16" i="6"/>
  <c r="Q16" i="6" s="1"/>
  <c r="AD17" i="6"/>
  <c r="M18" i="6"/>
  <c r="L18" i="6"/>
  <c r="N17" i="6" s="1"/>
  <c r="O17" i="6" s="1"/>
  <c r="R19" i="6"/>
  <c r="AB19" i="6"/>
  <c r="I20" i="6"/>
  <c r="C20" i="6"/>
  <c r="D20" i="6" s="1"/>
  <c r="V20" i="6" s="1"/>
  <c r="U19" i="6"/>
  <c r="W19" i="6"/>
  <c r="S19" i="6"/>
  <c r="T19" i="6"/>
  <c r="Z19" i="6"/>
  <c r="X19" i="6"/>
  <c r="Y19" i="6"/>
  <c r="K98" i="2"/>
  <c r="M98" i="2" s="1"/>
  <c r="Q98" i="2" s="1"/>
  <c r="A29" i="8"/>
  <c r="A29" i="10"/>
  <c r="B28" i="8"/>
  <c r="L99" i="2" s="1"/>
  <c r="B28" i="10"/>
  <c r="N99" i="2" s="1"/>
  <c r="O99" i="2" s="1"/>
  <c r="P99" i="2" s="1"/>
  <c r="B101" i="2"/>
  <c r="C100" i="2"/>
  <c r="H18" i="6"/>
  <c r="F19" i="6"/>
  <c r="B21" i="6"/>
  <c r="E20" i="6"/>
  <c r="F20" i="6" s="1"/>
  <c r="AD18" i="6" l="1"/>
  <c r="P17" i="6"/>
  <c r="Q17" i="6" s="1"/>
  <c r="M19" i="6"/>
  <c r="L19" i="6"/>
  <c r="T20" i="6"/>
  <c r="R20" i="6"/>
  <c r="G20" i="6"/>
  <c r="K20" i="6" s="1"/>
  <c r="Z20" i="6"/>
  <c r="Y20" i="6"/>
  <c r="U20" i="6"/>
  <c r="X20" i="6"/>
  <c r="S20" i="6"/>
  <c r="W20" i="6"/>
  <c r="H19" i="6"/>
  <c r="I21" i="6"/>
  <c r="AB20" i="6"/>
  <c r="K99" i="2"/>
  <c r="M99" i="2" s="1"/>
  <c r="Q99" i="2" s="1"/>
  <c r="A30" i="8"/>
  <c r="A30" i="10"/>
  <c r="B29" i="10"/>
  <c r="L100" i="2"/>
  <c r="B29" i="8"/>
  <c r="K100" i="2"/>
  <c r="N100" i="2"/>
  <c r="O100" i="2" s="1"/>
  <c r="P100" i="2" s="1"/>
  <c r="C21" i="6"/>
  <c r="D21" i="6" s="1"/>
  <c r="W21" i="6" s="1"/>
  <c r="B102" i="2"/>
  <c r="C101" i="2"/>
  <c r="E21" i="6"/>
  <c r="F21" i="6" s="1"/>
  <c r="B22" i="6"/>
  <c r="N18" i="6" l="1"/>
  <c r="O18" i="6" s="1"/>
  <c r="AD19" i="6"/>
  <c r="P18" i="6"/>
  <c r="Q18" i="6" s="1"/>
  <c r="L20" i="6"/>
  <c r="N19" i="6" s="1"/>
  <c r="O19" i="6" s="1"/>
  <c r="M20" i="6"/>
  <c r="P19" i="6" s="1"/>
  <c r="Q19" i="6" s="1"/>
  <c r="R21" i="6"/>
  <c r="G21" i="6"/>
  <c r="K21" i="6" s="1"/>
  <c r="AB21" i="6"/>
  <c r="I22" i="6"/>
  <c r="V21" i="6"/>
  <c r="T21" i="6"/>
  <c r="S21" i="6"/>
  <c r="U21" i="6"/>
  <c r="X21" i="6"/>
  <c r="M100" i="2"/>
  <c r="Q100" i="2" s="1"/>
  <c r="A31" i="10"/>
  <c r="A31" i="8"/>
  <c r="N101" i="2"/>
  <c r="O101" i="2" s="1"/>
  <c r="P101" i="2" s="1"/>
  <c r="B30" i="10"/>
  <c r="B30" i="8"/>
  <c r="L101" i="2" s="1"/>
  <c r="C22" i="6"/>
  <c r="D22" i="6" s="1"/>
  <c r="V22" i="6" s="1"/>
  <c r="Z21" i="6"/>
  <c r="Y21" i="6"/>
  <c r="B103" i="2"/>
  <c r="C102" i="2"/>
  <c r="H20" i="6"/>
  <c r="E22" i="6"/>
  <c r="F22" i="6" s="1"/>
  <c r="B23" i="6"/>
  <c r="K101" i="2" l="1"/>
  <c r="AD20" i="6"/>
  <c r="L21" i="6"/>
  <c r="N20" i="6" s="1"/>
  <c r="O20" i="6" s="1"/>
  <c r="M21" i="6"/>
  <c r="R22" i="6"/>
  <c r="G22" i="6"/>
  <c r="K22" i="6" s="1"/>
  <c r="AB22" i="6"/>
  <c r="I23" i="6"/>
  <c r="T22" i="6"/>
  <c r="S22" i="6"/>
  <c r="Z22" i="6"/>
  <c r="Y22" i="6"/>
  <c r="X22" i="6"/>
  <c r="W22" i="6"/>
  <c r="U22" i="6"/>
  <c r="M101" i="2"/>
  <c r="Q101" i="2" s="1"/>
  <c r="N102" i="2"/>
  <c r="O102" i="2" s="1"/>
  <c r="P102" i="2" s="1"/>
  <c r="B31" i="10"/>
  <c r="B31" i="8"/>
  <c r="L102" i="2" s="1"/>
  <c r="A32" i="10"/>
  <c r="A32" i="8"/>
  <c r="C23" i="6"/>
  <c r="D23" i="6" s="1"/>
  <c r="B104" i="2"/>
  <c r="C103" i="2"/>
  <c r="H21" i="6"/>
  <c r="E23" i="6"/>
  <c r="F23" i="6" s="1"/>
  <c r="B24" i="6"/>
  <c r="AD21" i="6" l="1"/>
  <c r="P20" i="6"/>
  <c r="Q20" i="6" s="1"/>
  <c r="L22" i="6"/>
  <c r="M22" i="6"/>
  <c r="R23" i="6"/>
  <c r="G23" i="6"/>
  <c r="K23" i="6" s="1"/>
  <c r="AB23" i="6"/>
  <c r="I24" i="6"/>
  <c r="B32" i="8"/>
  <c r="L103" i="2" s="1"/>
  <c r="B32" i="10"/>
  <c r="N103" i="2" s="1"/>
  <c r="O103" i="2" s="1"/>
  <c r="P103" i="2" s="1"/>
  <c r="K102" i="2"/>
  <c r="M102" i="2" s="1"/>
  <c r="Q102" i="2" s="1"/>
  <c r="A33" i="10"/>
  <c r="A33" i="8"/>
  <c r="C24" i="6"/>
  <c r="D24" i="6" s="1"/>
  <c r="B105" i="2"/>
  <c r="C104" i="2"/>
  <c r="H22" i="6"/>
  <c r="B25" i="6"/>
  <c r="E24" i="6"/>
  <c r="F24" i="6" s="1"/>
  <c r="N21" i="6" l="1"/>
  <c r="O21" i="6" s="1"/>
  <c r="P21" i="6"/>
  <c r="Q21" i="6" s="1"/>
  <c r="AD22" i="6"/>
  <c r="L23" i="6"/>
  <c r="N22" i="6" s="1"/>
  <c r="O22" i="6" s="1"/>
  <c r="M23" i="6"/>
  <c r="R24" i="6"/>
  <c r="G24" i="6"/>
  <c r="K24" i="6" s="1"/>
  <c r="AB24" i="6"/>
  <c r="I25" i="6"/>
  <c r="K103" i="2"/>
  <c r="M103" i="2" s="1"/>
  <c r="Q103" i="2" s="1"/>
  <c r="K104" i="2"/>
  <c r="N104" i="2"/>
  <c r="O104" i="2" s="1"/>
  <c r="P104" i="2" s="1"/>
  <c r="B33" i="10"/>
  <c r="B33" i="8"/>
  <c r="L104" i="2" s="1"/>
  <c r="A34" i="8"/>
  <c r="A34" i="10"/>
  <c r="C25" i="6"/>
  <c r="D25" i="6" s="1"/>
  <c r="B106" i="2"/>
  <c r="C105" i="2"/>
  <c r="H23" i="6"/>
  <c r="B26" i="6"/>
  <c r="E25" i="6"/>
  <c r="F25" i="6" s="1"/>
  <c r="P22" i="6" l="1"/>
  <c r="Q22" i="6" s="1"/>
  <c r="M24" i="6"/>
  <c r="L24" i="6"/>
  <c r="R25" i="6"/>
  <c r="G25" i="6"/>
  <c r="K25" i="6" s="1"/>
  <c r="AB25" i="6"/>
  <c r="I26" i="6"/>
  <c r="M104" i="2"/>
  <c r="Q104" i="2" s="1"/>
  <c r="B34" i="8"/>
  <c r="K105" i="2" s="1"/>
  <c r="B34" i="10"/>
  <c r="N105" i="2" s="1"/>
  <c r="O105" i="2" s="1"/>
  <c r="P105" i="2" s="1"/>
  <c r="A35" i="10"/>
  <c r="A35" i="8"/>
  <c r="C26" i="6"/>
  <c r="D26" i="6" s="1"/>
  <c r="B107" i="2"/>
  <c r="C106" i="2"/>
  <c r="H24" i="6"/>
  <c r="B27" i="6"/>
  <c r="E26" i="6"/>
  <c r="G26" i="6" s="1"/>
  <c r="K26" i="6" s="1"/>
  <c r="N25" i="6" l="1"/>
  <c r="O25" i="6" s="1"/>
  <c r="N24" i="6"/>
  <c r="O24" i="6" s="1"/>
  <c r="N23" i="6"/>
  <c r="O23" i="6" s="1"/>
  <c r="P23" i="6"/>
  <c r="Q23" i="6" s="1"/>
  <c r="M25" i="6"/>
  <c r="L25" i="6"/>
  <c r="R26" i="6"/>
  <c r="AB26" i="6"/>
  <c r="I27" i="6"/>
  <c r="L105" i="2"/>
  <c r="M105" i="2" s="1"/>
  <c r="Q105" i="2" s="1"/>
  <c r="B35" i="8"/>
  <c r="L106" i="2" s="1"/>
  <c r="B35" i="10"/>
  <c r="N106" i="2"/>
  <c r="O106" i="2" s="1"/>
  <c r="P106" i="2" s="1"/>
  <c r="A36" i="8"/>
  <c r="A36" i="10"/>
  <c r="C27" i="6"/>
  <c r="D27" i="6" s="1"/>
  <c r="B108" i="2"/>
  <c r="C107" i="2"/>
  <c r="H25" i="6"/>
  <c r="H26" i="6"/>
  <c r="F26" i="6"/>
  <c r="B28" i="6"/>
  <c r="E27" i="6"/>
  <c r="F27" i="6" s="1"/>
  <c r="P24" i="6" l="1"/>
  <c r="Q24" i="6" s="1"/>
  <c r="M26" i="6"/>
  <c r="L26" i="6"/>
  <c r="R27" i="6"/>
  <c r="G27" i="6"/>
  <c r="K27" i="6" s="1"/>
  <c r="AB27" i="6"/>
  <c r="I28" i="6"/>
  <c r="O28" i="6"/>
  <c r="K106" i="2"/>
  <c r="M106" i="2" s="1"/>
  <c r="Q106" i="2" s="1"/>
  <c r="B36" i="8"/>
  <c r="K107" i="2" s="1"/>
  <c r="B36" i="10"/>
  <c r="N107" i="2" s="1"/>
  <c r="O107" i="2" s="1"/>
  <c r="P107" i="2" s="1"/>
  <c r="A37" i="10"/>
  <c r="A37" i="8"/>
  <c r="C28" i="6"/>
  <c r="D28" i="6" s="1"/>
  <c r="B109" i="2"/>
  <c r="C108" i="2"/>
  <c r="B29" i="6"/>
  <c r="E28" i="6"/>
  <c r="F28" i="6" s="1"/>
  <c r="P25" i="6" l="1"/>
  <c r="Q25" i="6" s="1"/>
  <c r="M27" i="6"/>
  <c r="L27" i="6"/>
  <c r="G28" i="6"/>
  <c r="K28" i="6" s="1"/>
  <c r="I29" i="6"/>
  <c r="A38" i="8"/>
  <c r="A38" i="10"/>
  <c r="L107" i="2"/>
  <c r="M107" i="2" s="1"/>
  <c r="Q107" i="2" s="1"/>
  <c r="B37" i="10"/>
  <c r="N108" i="2" s="1"/>
  <c r="O108" i="2" s="1"/>
  <c r="P108" i="2" s="1"/>
  <c r="L108" i="2"/>
  <c r="B37" i="8"/>
  <c r="K108" i="2" s="1"/>
  <c r="C29" i="6"/>
  <c r="D29" i="6" s="1"/>
  <c r="B110" i="2"/>
  <c r="C109" i="2"/>
  <c r="H27" i="6"/>
  <c r="B30" i="6"/>
  <c r="E29" i="6"/>
  <c r="F29" i="6" s="1"/>
  <c r="P26" i="6" l="1"/>
  <c r="Q26" i="6" s="1"/>
  <c r="R28" i="6"/>
  <c r="G29" i="6"/>
  <c r="K29" i="6" s="1"/>
  <c r="I30" i="6"/>
  <c r="O30" i="6"/>
  <c r="M108" i="2"/>
  <c r="Q108" i="2" s="1"/>
  <c r="B38" i="10"/>
  <c r="N109" i="2" s="1"/>
  <c r="O109" i="2" s="1"/>
  <c r="P109" i="2" s="1"/>
  <c r="B38" i="8"/>
  <c r="L109" i="2" s="1"/>
  <c r="K109" i="2"/>
  <c r="A39" i="10"/>
  <c r="A39" i="8"/>
  <c r="C30" i="6"/>
  <c r="D30" i="6" s="1"/>
  <c r="B111" i="2"/>
  <c r="C110" i="2"/>
  <c r="H28" i="6"/>
  <c r="E30" i="6"/>
  <c r="F30" i="6" s="1"/>
  <c r="B31" i="6"/>
  <c r="M28" i="6" l="1"/>
  <c r="L28" i="6"/>
  <c r="R30" i="6"/>
  <c r="R29" i="6"/>
  <c r="G30" i="6"/>
  <c r="K30" i="6" s="1"/>
  <c r="AB30" i="6"/>
  <c r="I31" i="6"/>
  <c r="M109" i="2"/>
  <c r="Q109" i="2" s="1"/>
  <c r="B39" i="10"/>
  <c r="N110" i="2" s="1"/>
  <c r="O110" i="2" s="1"/>
  <c r="P110" i="2" s="1"/>
  <c r="B39" i="8"/>
  <c r="K110" i="2" s="1"/>
  <c r="A40" i="10"/>
  <c r="A40" i="8"/>
  <c r="C31" i="6"/>
  <c r="D31" i="6" s="1"/>
  <c r="B112" i="2"/>
  <c r="C111" i="2"/>
  <c r="H29" i="6"/>
  <c r="B32" i="6"/>
  <c r="E31" i="6"/>
  <c r="F31" i="6" s="1"/>
  <c r="P27" i="6" l="1"/>
  <c r="Q27" i="6" s="1"/>
  <c r="L29" i="6"/>
  <c r="M29" i="6"/>
  <c r="L30" i="6"/>
  <c r="M30" i="6"/>
  <c r="R31" i="6"/>
  <c r="G31" i="6"/>
  <c r="K31" i="6" s="1"/>
  <c r="AB31" i="6"/>
  <c r="I32" i="6"/>
  <c r="L110" i="2"/>
  <c r="M110" i="2" s="1"/>
  <c r="Q110" i="2" s="1"/>
  <c r="B40" i="8"/>
  <c r="B40" i="10"/>
  <c r="N111" i="2" s="1"/>
  <c r="O111" i="2" s="1"/>
  <c r="P111" i="2" s="1"/>
  <c r="L111" i="2"/>
  <c r="K111" i="2"/>
  <c r="A41" i="10"/>
  <c r="A41" i="8"/>
  <c r="C32" i="6"/>
  <c r="D32" i="6" s="1"/>
  <c r="B113" i="2"/>
  <c r="C112" i="2"/>
  <c r="H30" i="6"/>
  <c r="B33" i="6"/>
  <c r="E32" i="6"/>
  <c r="F32" i="6" s="1"/>
  <c r="P29" i="6" l="1"/>
  <c r="Q29" i="6" s="1"/>
  <c r="P28" i="6"/>
  <c r="Q28" i="6" s="1"/>
  <c r="L31" i="6"/>
  <c r="M31" i="6"/>
  <c r="R32" i="6"/>
  <c r="G32" i="6"/>
  <c r="K32" i="6" s="1"/>
  <c r="AB32" i="6"/>
  <c r="I33" i="6"/>
  <c r="M111" i="2"/>
  <c r="Q111" i="2" s="1"/>
  <c r="B41" i="10"/>
  <c r="N112" i="2" s="1"/>
  <c r="O112" i="2" s="1"/>
  <c r="P112" i="2" s="1"/>
  <c r="B41" i="8"/>
  <c r="K112" i="2" s="1"/>
  <c r="A42" i="8"/>
  <c r="A42" i="10"/>
  <c r="C33" i="6"/>
  <c r="D33" i="6" s="1"/>
  <c r="O33" i="6"/>
  <c r="O36" i="6" s="1"/>
  <c r="B114" i="2"/>
  <c r="C113" i="2"/>
  <c r="H31" i="6"/>
  <c r="B34" i="6"/>
  <c r="E33" i="6"/>
  <c r="F33" i="6" s="1"/>
  <c r="P30" i="6" l="1"/>
  <c r="Q30" i="6" s="1"/>
  <c r="L32" i="6"/>
  <c r="M32" i="6"/>
  <c r="AB33" i="6"/>
  <c r="B28" i="4"/>
  <c r="C28" i="4" s="1"/>
  <c r="F28" i="4" s="1"/>
  <c r="R33" i="6"/>
  <c r="G33" i="6"/>
  <c r="K33" i="6" s="1"/>
  <c r="I38" i="4"/>
  <c r="I34" i="6"/>
  <c r="L112" i="2"/>
  <c r="M112" i="2" s="1"/>
  <c r="Q112" i="2" s="1"/>
  <c r="B42" i="8"/>
  <c r="K113" i="2" s="1"/>
  <c r="B42" i="10"/>
  <c r="N113" i="2" s="1"/>
  <c r="O113" i="2" s="1"/>
  <c r="P113" i="2" s="1"/>
  <c r="A43" i="10"/>
  <c r="A43" i="8"/>
  <c r="C34" i="6"/>
  <c r="D34" i="6" s="1"/>
  <c r="B115" i="2"/>
  <c r="C114" i="2"/>
  <c r="B18" i="4"/>
  <c r="C18" i="4" s="1"/>
  <c r="B24" i="4"/>
  <c r="C24" i="4" s="1"/>
  <c r="B29" i="4"/>
  <c r="C29" i="4" s="1"/>
  <c r="B23" i="4"/>
  <c r="C23" i="4" s="1"/>
  <c r="B13" i="4"/>
  <c r="C13" i="4" s="1"/>
  <c r="B10" i="4"/>
  <c r="C10" i="4" s="1"/>
  <c r="B34" i="4"/>
  <c r="C34" i="4" s="1"/>
  <c r="B8" i="4"/>
  <c r="C8" i="4" s="1"/>
  <c r="B27" i="4"/>
  <c r="C27" i="4" s="1"/>
  <c r="B21" i="4"/>
  <c r="C21" i="4" s="1"/>
  <c r="B19" i="4"/>
  <c r="C19" i="4" s="1"/>
  <c r="B25" i="4"/>
  <c r="C25" i="4" s="1"/>
  <c r="B15" i="4"/>
  <c r="C15" i="4" s="1"/>
  <c r="B7" i="4"/>
  <c r="C7" i="4" s="1"/>
  <c r="B32" i="4"/>
  <c r="C32" i="4" s="1"/>
  <c r="B5" i="4"/>
  <c r="C5" i="4" s="1"/>
  <c r="B20" i="4"/>
  <c r="C20" i="4" s="1"/>
  <c r="B16" i="4"/>
  <c r="C16" i="4" s="1"/>
  <c r="B9" i="4"/>
  <c r="C9" i="4" s="1"/>
  <c r="B30" i="4"/>
  <c r="C30" i="4" s="1"/>
  <c r="B22" i="4"/>
  <c r="C22" i="4" s="1"/>
  <c r="B12" i="4"/>
  <c r="C12" i="4" s="1"/>
  <c r="B11" i="4"/>
  <c r="C11" i="4" s="1"/>
  <c r="B35" i="4"/>
  <c r="C35" i="4" s="1"/>
  <c r="B6" i="4"/>
  <c r="C6" i="4" s="1"/>
  <c r="B31" i="4"/>
  <c r="C31" i="4" s="1"/>
  <c r="B17" i="4"/>
  <c r="C17" i="4" s="1"/>
  <c r="B14" i="4"/>
  <c r="C14" i="4" s="1"/>
  <c r="B33" i="4"/>
  <c r="C33" i="4" s="1"/>
  <c r="B26" i="4"/>
  <c r="C26" i="4" s="1"/>
  <c r="H32" i="6"/>
  <c r="E34" i="6"/>
  <c r="G34" i="6" s="1"/>
  <c r="K34" i="6" s="1"/>
  <c r="P31" i="6" l="1"/>
  <c r="Q31" i="6" s="1"/>
  <c r="L33" i="6"/>
  <c r="M33" i="6"/>
  <c r="R34" i="6"/>
  <c r="AB34" i="6"/>
  <c r="R28" i="4"/>
  <c r="L113" i="2"/>
  <c r="M113" i="2" s="1"/>
  <c r="Q113" i="2" s="1"/>
  <c r="B43" i="10"/>
  <c r="N114" i="2" s="1"/>
  <c r="O114" i="2" s="1"/>
  <c r="P114" i="2" s="1"/>
  <c r="B43" i="8"/>
  <c r="L114" i="2" s="1"/>
  <c r="A44" i="8"/>
  <c r="A44" i="10"/>
  <c r="R35" i="4"/>
  <c r="J11" i="4"/>
  <c r="F11" i="4"/>
  <c r="K11" i="4" s="1"/>
  <c r="L11" i="4"/>
  <c r="R11" i="4"/>
  <c r="D11" i="4"/>
  <c r="E11" i="4"/>
  <c r="F16" i="4"/>
  <c r="K16" i="4" s="1"/>
  <c r="R16" i="4"/>
  <c r="D16" i="4"/>
  <c r="J16" i="4"/>
  <c r="L16" i="4"/>
  <c r="E16" i="4"/>
  <c r="L17" i="4"/>
  <c r="E17" i="4"/>
  <c r="J17" i="4"/>
  <c r="R17" i="4"/>
  <c r="F17" i="4"/>
  <c r="K17" i="4" s="1"/>
  <c r="D17" i="4"/>
  <c r="F6" i="4"/>
  <c r="K6" i="4" s="1"/>
  <c r="R6" i="4"/>
  <c r="D6" i="4"/>
  <c r="L6" i="4"/>
  <c r="J6" i="4"/>
  <c r="E6" i="4"/>
  <c r="F9" i="4"/>
  <c r="K9" i="4" s="1"/>
  <c r="L9" i="4"/>
  <c r="E9" i="4"/>
  <c r="R9" i="4"/>
  <c r="D9" i="4"/>
  <c r="J9" i="4"/>
  <c r="F26" i="4"/>
  <c r="R26" i="4"/>
  <c r="L21" i="4"/>
  <c r="D21" i="4"/>
  <c r="F21" i="4"/>
  <c r="K21" i="4" s="1"/>
  <c r="J21" i="4"/>
  <c r="R21" i="4"/>
  <c r="E21" i="4"/>
  <c r="F18" i="4"/>
  <c r="K18" i="4" s="1"/>
  <c r="L18" i="4"/>
  <c r="D18" i="4"/>
  <c r="E18" i="4"/>
  <c r="J18" i="4"/>
  <c r="R18" i="4"/>
  <c r="L12" i="4"/>
  <c r="E12" i="4"/>
  <c r="F12" i="4"/>
  <c r="K12" i="4" s="1"/>
  <c r="J12" i="4"/>
  <c r="R12" i="4"/>
  <c r="D12" i="4"/>
  <c r="F15" i="4"/>
  <c r="R15" i="4"/>
  <c r="R34" i="4"/>
  <c r="F34" i="4"/>
  <c r="F20" i="4"/>
  <c r="K20" i="4" s="1"/>
  <c r="R20" i="4"/>
  <c r="J20" i="4"/>
  <c r="D20" i="4"/>
  <c r="E20" i="4"/>
  <c r="L20" i="4"/>
  <c r="F27" i="4"/>
  <c r="R27" i="4"/>
  <c r="R13" i="4"/>
  <c r="E13" i="4"/>
  <c r="J13" i="4"/>
  <c r="D13" i="4"/>
  <c r="F13" i="4"/>
  <c r="K13" i="4" s="1"/>
  <c r="L13" i="4"/>
  <c r="F33" i="4"/>
  <c r="R33" i="4"/>
  <c r="R31" i="4"/>
  <c r="F31" i="4"/>
  <c r="J14" i="4"/>
  <c r="R14" i="4"/>
  <c r="D14" i="4"/>
  <c r="L14" i="4"/>
  <c r="E14" i="4"/>
  <c r="F14" i="4"/>
  <c r="K14" i="4" s="1"/>
  <c r="F35" i="4"/>
  <c r="J22" i="4"/>
  <c r="F22" i="4"/>
  <c r="K22" i="4" s="1"/>
  <c r="L22" i="4"/>
  <c r="D22" i="4"/>
  <c r="E22" i="4"/>
  <c r="R22" i="4"/>
  <c r="F25" i="4"/>
  <c r="R25" i="4"/>
  <c r="R10" i="4"/>
  <c r="E10" i="4"/>
  <c r="J10" i="4"/>
  <c r="D10" i="4"/>
  <c r="F10" i="4"/>
  <c r="K10" i="4" s="1"/>
  <c r="L10" i="4"/>
  <c r="J5" i="4"/>
  <c r="L5" i="4"/>
  <c r="E5" i="4"/>
  <c r="D5" i="4"/>
  <c r="E8" i="4"/>
  <c r="F8" i="4"/>
  <c r="K8" i="4" s="1"/>
  <c r="J8" i="4"/>
  <c r="L8" i="4"/>
  <c r="R8" i="4"/>
  <c r="D8" i="4"/>
  <c r="D23" i="4"/>
  <c r="J23" i="4"/>
  <c r="E23" i="4"/>
  <c r="F23" i="4"/>
  <c r="K23" i="4" s="1"/>
  <c r="L23" i="4"/>
  <c r="R23" i="4"/>
  <c r="F24" i="4"/>
  <c r="R24" i="4"/>
  <c r="F32" i="4"/>
  <c r="R32" i="4"/>
  <c r="D7" i="4"/>
  <c r="J7" i="4"/>
  <c r="L7" i="4"/>
  <c r="R7" i="4"/>
  <c r="E7" i="4"/>
  <c r="F7" i="4"/>
  <c r="K7" i="4" s="1"/>
  <c r="D19" i="4"/>
  <c r="R19" i="4"/>
  <c r="E19" i="4"/>
  <c r="J19" i="4"/>
  <c r="F19" i="4"/>
  <c r="K19" i="4" s="1"/>
  <c r="L19" i="4"/>
  <c r="B116" i="2"/>
  <c r="C115" i="2"/>
  <c r="F34" i="6"/>
  <c r="H33" i="6"/>
  <c r="H34" i="6"/>
  <c r="P32" i="6" l="1"/>
  <c r="Q32" i="6" s="1"/>
  <c r="M34" i="6"/>
  <c r="M37" i="6" s="1"/>
  <c r="L34" i="6"/>
  <c r="I19" i="4"/>
  <c r="K37" i="6"/>
  <c r="K114" i="2"/>
  <c r="M114" i="2" s="1"/>
  <c r="Q114" i="2" s="1"/>
  <c r="I18" i="4"/>
  <c r="I16" i="4"/>
  <c r="I17" i="4"/>
  <c r="I14" i="4"/>
  <c r="I10" i="4"/>
  <c r="A45" i="8"/>
  <c r="A45" i="10"/>
  <c r="B44" i="8"/>
  <c r="L115" i="2" s="1"/>
  <c r="K115" i="2"/>
  <c r="B44" i="10"/>
  <c r="N115" i="2" s="1"/>
  <c r="O115" i="2" s="1"/>
  <c r="P115" i="2" s="1"/>
  <c r="I6" i="4"/>
  <c r="I20" i="4"/>
  <c r="I11" i="4"/>
  <c r="I23" i="4"/>
  <c r="I8" i="4"/>
  <c r="I9" i="4"/>
  <c r="I12" i="4"/>
  <c r="I21" i="4"/>
  <c r="I7" i="4"/>
  <c r="I13" i="4"/>
  <c r="I22" i="4"/>
  <c r="I5" i="4"/>
  <c r="B117" i="2"/>
  <c r="C116" i="2"/>
  <c r="M36" i="6" l="1"/>
  <c r="P34" i="6"/>
  <c r="Q34" i="6" s="1"/>
  <c r="Q36" i="6" s="1"/>
  <c r="P33" i="6"/>
  <c r="Q33" i="6" s="1"/>
  <c r="L36" i="6"/>
  <c r="L37" i="6"/>
  <c r="K36" i="6"/>
  <c r="B45" i="10"/>
  <c r="N116" i="2" s="1"/>
  <c r="O116" i="2" s="1"/>
  <c r="P116" i="2" s="1"/>
  <c r="B45" i="8"/>
  <c r="L116" i="2" s="1"/>
  <c r="K116" i="2"/>
  <c r="M115" i="2"/>
  <c r="Q115" i="2" s="1"/>
  <c r="A46" i="8"/>
  <c r="A46" i="10"/>
  <c r="B118" i="2"/>
  <c r="C117" i="2"/>
  <c r="I39" i="4" l="1"/>
  <c r="I9" i="7"/>
  <c r="B28" i="7" s="1"/>
  <c r="C28" i="7" s="1"/>
  <c r="M116" i="2"/>
  <c r="Q116" i="2" s="1"/>
  <c r="N117" i="2"/>
  <c r="O117" i="2" s="1"/>
  <c r="P117" i="2" s="1"/>
  <c r="B46" i="10"/>
  <c r="B46" i="8"/>
  <c r="L117" i="2" s="1"/>
  <c r="K117" i="2"/>
  <c r="A47" i="10"/>
  <c r="A47" i="8"/>
  <c r="B119" i="2"/>
  <c r="C118" i="2"/>
  <c r="A48" i="10" l="1"/>
  <c r="A48" i="8"/>
  <c r="M117" i="2"/>
  <c r="Q117" i="2" s="1"/>
  <c r="B47" i="10"/>
  <c r="N118" i="2" s="1"/>
  <c r="O118" i="2" s="1"/>
  <c r="P118" i="2" s="1"/>
  <c r="B47" i="8"/>
  <c r="K118" i="2" s="1"/>
  <c r="B120" i="2"/>
  <c r="C119" i="2"/>
  <c r="L118" i="2" l="1"/>
  <c r="M118" i="2" s="1"/>
  <c r="Q118" i="2" s="1"/>
  <c r="B48" i="10"/>
  <c r="N119" i="2" s="1"/>
  <c r="O119" i="2" s="1"/>
  <c r="P119" i="2" s="1"/>
  <c r="B48" i="8"/>
  <c r="L119" i="2" s="1"/>
  <c r="A49" i="10"/>
  <c r="A49" i="8"/>
  <c r="B121" i="2"/>
  <c r="C120" i="2"/>
  <c r="K119" i="2" l="1"/>
  <c r="M119" i="2" s="1"/>
  <c r="Q119" i="2" s="1"/>
  <c r="A50" i="10"/>
  <c r="A50" i="8"/>
  <c r="B49" i="10"/>
  <c r="N120" i="2" s="1"/>
  <c r="O120" i="2" s="1"/>
  <c r="P120" i="2" s="1"/>
  <c r="B49" i="8"/>
  <c r="K120" i="2" s="1"/>
  <c r="B122" i="2"/>
  <c r="C121" i="2"/>
  <c r="B50" i="8" l="1"/>
  <c r="K121" i="2" s="1"/>
  <c r="N121" i="2"/>
  <c r="O121" i="2" s="1"/>
  <c r="P121" i="2" s="1"/>
  <c r="B50" i="10"/>
  <c r="A51" i="10"/>
  <c r="A51" i="8"/>
  <c r="L120" i="2"/>
  <c r="M120" i="2" s="1"/>
  <c r="Q120" i="2" s="1"/>
  <c r="B123" i="2"/>
  <c r="C122" i="2"/>
  <c r="L121" i="2" l="1"/>
  <c r="M121" i="2" s="1"/>
  <c r="Q121" i="2" s="1"/>
  <c r="A52" i="8"/>
  <c r="A52" i="10"/>
  <c r="B51" i="8"/>
  <c r="L122" i="2" s="1"/>
  <c r="B51" i="10"/>
  <c r="N122" i="2" s="1"/>
  <c r="O122" i="2" s="1"/>
  <c r="P122" i="2" s="1"/>
  <c r="B124" i="2"/>
  <c r="C123" i="2"/>
  <c r="K122" i="2" l="1"/>
  <c r="M122" i="2" s="1"/>
  <c r="Q122" i="2" s="1"/>
  <c r="A53" i="8"/>
  <c r="A53" i="10"/>
  <c r="L123" i="2"/>
  <c r="B52" i="8"/>
  <c r="K123" i="2"/>
  <c r="B52" i="10"/>
  <c r="N123" i="2" s="1"/>
  <c r="O123" i="2" s="1"/>
  <c r="P123" i="2" s="1"/>
  <c r="B125" i="2"/>
  <c r="C124" i="2"/>
  <c r="M123" i="2" l="1"/>
  <c r="Q123" i="2" s="1"/>
  <c r="A54" i="8"/>
  <c r="A54" i="10"/>
  <c r="B53" i="10"/>
  <c r="N124" i="2" s="1"/>
  <c r="O124" i="2" s="1"/>
  <c r="P124" i="2" s="1"/>
  <c r="L124" i="2"/>
  <c r="B53" i="8"/>
  <c r="K124" i="2" s="1"/>
  <c r="B126" i="2"/>
  <c r="C125" i="2"/>
  <c r="M124" i="2" l="1"/>
  <c r="Q124" i="2" s="1"/>
  <c r="B54" i="10"/>
  <c r="N125" i="2" s="1"/>
  <c r="O125" i="2" s="1"/>
  <c r="P125" i="2" s="1"/>
  <c r="B54" i="8"/>
  <c r="L125" i="2" s="1"/>
  <c r="A55" i="10"/>
  <c r="A55" i="8"/>
  <c r="B127" i="2"/>
  <c r="C126" i="2"/>
  <c r="A56" i="10" l="1"/>
  <c r="A56" i="8"/>
  <c r="K125" i="2"/>
  <c r="M125" i="2" s="1"/>
  <c r="Q125" i="2" s="1"/>
  <c r="B55" i="10"/>
  <c r="N126" i="2" s="1"/>
  <c r="O126" i="2" s="1"/>
  <c r="P126" i="2" s="1"/>
  <c r="L126" i="2"/>
  <c r="B55" i="8"/>
  <c r="K126" i="2"/>
  <c r="B128" i="2"/>
  <c r="C127" i="2"/>
  <c r="M126" i="2" l="1"/>
  <c r="Q126" i="2" s="1"/>
  <c r="B56" i="10"/>
  <c r="N127" i="2" s="1"/>
  <c r="O127" i="2" s="1"/>
  <c r="P127" i="2" s="1"/>
  <c r="B56" i="8"/>
  <c r="L127" i="2" s="1"/>
  <c r="K127" i="2"/>
  <c r="A57" i="10"/>
  <c r="A57" i="8"/>
  <c r="B129" i="2"/>
  <c r="C128" i="2"/>
  <c r="M127" i="2" l="1"/>
  <c r="Q127" i="2" s="1"/>
  <c r="A58" i="10"/>
  <c r="A58" i="8"/>
  <c r="B57" i="10"/>
  <c r="N128" i="2" s="1"/>
  <c r="O128" i="2" s="1"/>
  <c r="P128" i="2" s="1"/>
  <c r="B57" i="8"/>
  <c r="K128" i="2" s="1"/>
  <c r="B130" i="2"/>
  <c r="C129" i="2"/>
  <c r="L128" i="2" l="1"/>
  <c r="M128" i="2" s="1"/>
  <c r="Q128" i="2" s="1"/>
  <c r="B58" i="8"/>
  <c r="K129" i="2" s="1"/>
  <c r="B58" i="10"/>
  <c r="N129" i="2" s="1"/>
  <c r="O129" i="2" s="1"/>
  <c r="P129" i="2" s="1"/>
  <c r="L129" i="2"/>
  <c r="A59" i="10"/>
  <c r="A59" i="8"/>
  <c r="B131" i="2"/>
  <c r="C130" i="2"/>
  <c r="B59" i="8" l="1"/>
  <c r="K130" i="2" s="1"/>
  <c r="B59" i="10"/>
  <c r="N130" i="2" s="1"/>
  <c r="O130" i="2" s="1"/>
  <c r="P130" i="2" s="1"/>
  <c r="M129" i="2"/>
  <c r="Q129" i="2" s="1"/>
  <c r="A60" i="8"/>
  <c r="A60" i="10"/>
  <c r="B132" i="2"/>
  <c r="C131" i="2"/>
  <c r="L130" i="2" l="1"/>
  <c r="M130" i="2" s="1"/>
  <c r="Q130" i="2" s="1"/>
  <c r="L131" i="2"/>
  <c r="B60" i="8"/>
  <c r="K131" i="2"/>
  <c r="B60" i="10"/>
  <c r="N131" i="2" s="1"/>
  <c r="O131" i="2" s="1"/>
  <c r="P131" i="2" s="1"/>
  <c r="A61" i="8"/>
  <c r="A61" i="10"/>
  <c r="B133" i="2"/>
  <c r="C132" i="2"/>
  <c r="B61" i="10" l="1"/>
  <c r="B61" i="8"/>
  <c r="L132" i="2" s="1"/>
  <c r="K132" i="2"/>
  <c r="N132" i="2"/>
  <c r="O132" i="2" s="1"/>
  <c r="P132" i="2" s="1"/>
  <c r="A62" i="8"/>
  <c r="A62" i="10"/>
  <c r="M131" i="2"/>
  <c r="Q131" i="2" s="1"/>
  <c r="B134" i="2"/>
  <c r="C133" i="2"/>
  <c r="B62" i="10" l="1"/>
  <c r="N133" i="2" s="1"/>
  <c r="O133" i="2" s="1"/>
  <c r="P133" i="2" s="1"/>
  <c r="B62" i="8"/>
  <c r="L133" i="2" s="1"/>
  <c r="K133" i="2"/>
  <c r="A63" i="10"/>
  <c r="A63" i="8"/>
  <c r="M132" i="2"/>
  <c r="Q132" i="2" s="1"/>
  <c r="B135" i="2"/>
  <c r="C134" i="2"/>
  <c r="M133" i="2" l="1"/>
  <c r="Q133" i="2" s="1"/>
  <c r="A64" i="10"/>
  <c r="A64" i="8"/>
  <c r="B63" i="10"/>
  <c r="N134" i="2" s="1"/>
  <c r="O134" i="2" s="1"/>
  <c r="P134" i="2" s="1"/>
  <c r="B63" i="8"/>
  <c r="K134" i="2" s="1"/>
  <c r="B136" i="2"/>
  <c r="C135" i="2"/>
  <c r="L134" i="2" l="1"/>
  <c r="M134" i="2" s="1"/>
  <c r="Q134" i="2" s="1"/>
  <c r="N135" i="2"/>
  <c r="O135" i="2" s="1"/>
  <c r="P135" i="2" s="1"/>
  <c r="B64" i="8"/>
  <c r="L135" i="2" s="1"/>
  <c r="B64" i="10"/>
  <c r="A65" i="10"/>
  <c r="A65" i="8"/>
  <c r="B137" i="2"/>
  <c r="C136" i="2"/>
  <c r="K135" i="2" l="1"/>
  <c r="M135" i="2" s="1"/>
  <c r="Q135" i="2" s="1"/>
  <c r="A66" i="8"/>
  <c r="A66" i="10"/>
  <c r="K136" i="2"/>
  <c r="B65" i="10"/>
  <c r="N136" i="2" s="1"/>
  <c r="O136" i="2" s="1"/>
  <c r="P136" i="2" s="1"/>
  <c r="L136" i="2"/>
  <c r="B65" i="8"/>
  <c r="B138" i="2"/>
  <c r="C137" i="2"/>
  <c r="B66" i="8" l="1"/>
  <c r="K137" i="2" s="1"/>
  <c r="B66" i="10"/>
  <c r="N137" i="2" s="1"/>
  <c r="O137" i="2" s="1"/>
  <c r="P137" i="2" s="1"/>
  <c r="L137" i="2"/>
  <c r="A67" i="10"/>
  <c r="A67" i="8"/>
  <c r="M136" i="2"/>
  <c r="Q136" i="2" s="1"/>
  <c r="B139" i="2"/>
  <c r="C138" i="2"/>
  <c r="M137" i="2" l="1"/>
  <c r="Q137" i="2" s="1"/>
  <c r="L138" i="2"/>
  <c r="B67" i="8"/>
  <c r="K138" i="2"/>
  <c r="B67" i="10"/>
  <c r="N138" i="2"/>
  <c r="O138" i="2" s="1"/>
  <c r="P138" i="2" s="1"/>
  <c r="A68" i="8"/>
  <c r="A68" i="10"/>
  <c r="B140" i="2"/>
  <c r="C139" i="2"/>
  <c r="M138" i="2" l="1"/>
  <c r="Q138" i="2" s="1"/>
  <c r="A69" i="8"/>
  <c r="A69" i="10"/>
  <c r="B68" i="8"/>
  <c r="L139" i="2" s="1"/>
  <c r="K139" i="2"/>
  <c r="N139" i="2"/>
  <c r="O139" i="2" s="1"/>
  <c r="P139" i="2" s="1"/>
  <c r="B68" i="10"/>
  <c r="B141" i="2"/>
  <c r="C140" i="2"/>
  <c r="M139" i="2" l="1"/>
  <c r="Q139" i="2" s="1"/>
  <c r="B69" i="10"/>
  <c r="L140" i="2"/>
  <c r="B69" i="8"/>
  <c r="K140" i="2"/>
  <c r="N140" i="2"/>
  <c r="O140" i="2" s="1"/>
  <c r="P140" i="2" s="1"/>
  <c r="A70" i="8"/>
  <c r="A70" i="10"/>
  <c r="B142" i="2"/>
  <c r="C141" i="2"/>
  <c r="C142" i="2" l="1"/>
  <c r="A71" i="10"/>
  <c r="A71" i="8"/>
  <c r="M140" i="2"/>
  <c r="Q140" i="2" s="1"/>
  <c r="N141" i="2"/>
  <c r="O141" i="2" s="1"/>
  <c r="P141" i="2" s="1"/>
  <c r="B70" i="10"/>
  <c r="B70" i="8"/>
  <c r="K141" i="2" s="1"/>
  <c r="T23" i="6"/>
  <c r="D24" i="4" s="1"/>
  <c r="W23" i="6"/>
  <c r="X23" i="6"/>
  <c r="J24" i="4" s="1"/>
  <c r="V24" i="6"/>
  <c r="S23" i="6"/>
  <c r="Y23" i="6"/>
  <c r="AD23" i="6" s="1"/>
  <c r="U24" i="6"/>
  <c r="E25" i="4" s="1"/>
  <c r="W26" i="6"/>
  <c r="U25" i="6"/>
  <c r="E26" i="4" s="1"/>
  <c r="Z23" i="6"/>
  <c r="L24" i="4" s="1"/>
  <c r="U23" i="6"/>
  <c r="E24" i="4" s="1"/>
  <c r="S25" i="6"/>
  <c r="V25" i="6"/>
  <c r="W25" i="6"/>
  <c r="X25" i="6"/>
  <c r="J26" i="4" s="1"/>
  <c r="V23" i="6"/>
  <c r="S24" i="6"/>
  <c r="T24" i="6"/>
  <c r="D25" i="4" s="1"/>
  <c r="X24" i="6"/>
  <c r="J25" i="4" s="1"/>
  <c r="Y26" i="6"/>
  <c r="Y25" i="6"/>
  <c r="AD25" i="6" s="1"/>
  <c r="Z24" i="6"/>
  <c r="L25" i="4" s="1"/>
  <c r="U26" i="6"/>
  <c r="E27" i="4" s="1"/>
  <c r="T25" i="6"/>
  <c r="D26" i="4" s="1"/>
  <c r="Y24" i="6"/>
  <c r="AD24" i="6" s="1"/>
  <c r="W24" i="6"/>
  <c r="Z26" i="6"/>
  <c r="L27" i="4" s="1"/>
  <c r="S26" i="6"/>
  <c r="T28" i="6"/>
  <c r="D29" i="4" s="1"/>
  <c r="T26" i="6"/>
  <c r="D27" i="4" s="1"/>
  <c r="V26" i="6"/>
  <c r="S27" i="6"/>
  <c r="Y27" i="6"/>
  <c r="V27" i="6"/>
  <c r="X26" i="6"/>
  <c r="J27" i="4" s="1"/>
  <c r="Z25" i="6"/>
  <c r="L26" i="4" s="1"/>
  <c r="T27" i="6"/>
  <c r="D28" i="4" s="1"/>
  <c r="U28" i="6"/>
  <c r="E29" i="4" s="1"/>
  <c r="Z27" i="6"/>
  <c r="L28" i="4" s="1"/>
  <c r="U27" i="6"/>
  <c r="E28" i="4" s="1"/>
  <c r="I28" i="4" s="1"/>
  <c r="S28" i="6"/>
  <c r="W29" i="6"/>
  <c r="X29" i="6"/>
  <c r="J30" i="4" s="1"/>
  <c r="X28" i="6"/>
  <c r="J29" i="4" s="1"/>
  <c r="X27" i="6"/>
  <c r="J28" i="4" s="1"/>
  <c r="Z28" i="6"/>
  <c r="L29" i="4" s="1"/>
  <c r="V28" i="6"/>
  <c r="S29" i="6"/>
  <c r="T30" i="6"/>
  <c r="D31" i="4" s="1"/>
  <c r="Y29" i="6"/>
  <c r="AD29" i="6" s="1"/>
  <c r="W28" i="6"/>
  <c r="Y28" i="6"/>
  <c r="AD28" i="6" s="1"/>
  <c r="W27" i="6"/>
  <c r="V29" i="6"/>
  <c r="Z31" i="6"/>
  <c r="L32" i="4" s="1"/>
  <c r="U29" i="6"/>
  <c r="E30" i="4" s="1"/>
  <c r="X30" i="6"/>
  <c r="J31" i="4" s="1"/>
  <c r="S31" i="6"/>
  <c r="V30" i="6"/>
  <c r="X32" i="6"/>
  <c r="J33" i="4" s="1"/>
  <c r="Z29" i="6"/>
  <c r="L30" i="4" s="1"/>
  <c r="T29" i="6"/>
  <c r="D30" i="4" s="1"/>
  <c r="Z30" i="6"/>
  <c r="L31" i="4" s="1"/>
  <c r="Y31" i="6"/>
  <c r="AD31" i="6" s="1"/>
  <c r="U30" i="6"/>
  <c r="E31" i="4" s="1"/>
  <c r="S30" i="6"/>
  <c r="W30" i="6"/>
  <c r="Y30" i="6"/>
  <c r="AD30" i="6" s="1"/>
  <c r="X31" i="6"/>
  <c r="J32" i="4" s="1"/>
  <c r="W32" i="6"/>
  <c r="S32" i="6"/>
  <c r="W31" i="6"/>
  <c r="T32" i="6"/>
  <c r="D33" i="4" s="1"/>
  <c r="T34" i="6"/>
  <c r="D35" i="4" s="1"/>
  <c r="U31" i="6"/>
  <c r="E32" i="4" s="1"/>
  <c r="S33" i="6"/>
  <c r="Y33" i="6"/>
  <c r="AD33" i="6" s="1"/>
  <c r="U33" i="6"/>
  <c r="E34" i="4" s="1"/>
  <c r="V31" i="6"/>
  <c r="V32" i="6"/>
  <c r="U32" i="6"/>
  <c r="E33" i="4" s="1"/>
  <c r="T33" i="6"/>
  <c r="D34" i="4" s="1"/>
  <c r="Z32" i="6"/>
  <c r="L33" i="4" s="1"/>
  <c r="Y32" i="6"/>
  <c r="AD32" i="6" s="1"/>
  <c r="W33" i="6"/>
  <c r="U34" i="6"/>
  <c r="E35" i="4" s="1"/>
  <c r="Z33" i="6"/>
  <c r="L34" i="4" s="1"/>
  <c r="X33" i="6"/>
  <c r="J34" i="4" s="1"/>
  <c r="V33" i="6"/>
  <c r="T31" i="6"/>
  <c r="D32" i="4" s="1"/>
  <c r="V34" i="6"/>
  <c r="Y34" i="6"/>
  <c r="AD34" i="6" s="1"/>
  <c r="S34" i="6"/>
  <c r="W34" i="6"/>
  <c r="Z34" i="6"/>
  <c r="L35" i="4" s="1"/>
  <c r="X34" i="6"/>
  <c r="J35" i="4" s="1"/>
  <c r="AD27" i="6" l="1"/>
  <c r="I27" i="4"/>
  <c r="AD26" i="6"/>
  <c r="I30" i="4"/>
  <c r="I25" i="4"/>
  <c r="K31" i="4"/>
  <c r="K33" i="4"/>
  <c r="K32" i="4"/>
  <c r="K34" i="4"/>
  <c r="K28" i="4"/>
  <c r="K24" i="4"/>
  <c r="K25" i="4"/>
  <c r="K26" i="4"/>
  <c r="K27" i="4"/>
  <c r="K35" i="4"/>
  <c r="I31" i="4"/>
  <c r="I33" i="4"/>
  <c r="I32" i="4"/>
  <c r="AB28" i="6"/>
  <c r="AB29" i="6"/>
  <c r="I34" i="4"/>
  <c r="I24" i="4"/>
  <c r="L141" i="2"/>
  <c r="M141" i="2" s="1"/>
  <c r="Q141" i="2" s="1"/>
  <c r="B71" i="10"/>
  <c r="B71" i="8"/>
  <c r="I35" i="4"/>
  <c r="I29" i="4"/>
  <c r="I26" i="4"/>
  <c r="F30" i="4" l="1"/>
  <c r="K30" i="4" s="1"/>
  <c r="R30" i="4"/>
  <c r="F29" i="4"/>
  <c r="K29" i="4" s="1"/>
  <c r="R29" i="4"/>
  <c r="N142" i="2"/>
  <c r="O142" i="2" s="1"/>
  <c r="P142" i="2" s="1"/>
  <c r="K142" i="2"/>
  <c r="L142" i="2"/>
  <c r="R37" i="6"/>
  <c r="AC36" i="6" s="1"/>
  <c r="R36" i="6"/>
  <c r="M142" i="2" l="1"/>
  <c r="Q142" i="2" s="1"/>
  <c r="R5" i="4"/>
  <c r="K9" i="7"/>
  <c r="F5" i="4"/>
  <c r="V14" i="6" l="1"/>
  <c r="U14" i="6"/>
  <c r="E15" i="4" s="1"/>
  <c r="Y14" i="6"/>
  <c r="AD14" i="6" s="1"/>
  <c r="T14" i="6"/>
  <c r="D15" i="4" s="1"/>
  <c r="S14" i="6"/>
  <c r="Z14" i="6"/>
  <c r="W14" i="6"/>
  <c r="X14" i="6"/>
  <c r="J15" i="4" s="1"/>
  <c r="K5" i="4"/>
  <c r="AB36" i="6"/>
  <c r="R36" i="4"/>
  <c r="F39" i="4" l="1"/>
  <c r="I15" i="4"/>
  <c r="L15" i="4"/>
  <c r="L36" i="4" s="1"/>
  <c r="Z36" i="6"/>
  <c r="L9" i="7" s="1"/>
  <c r="B26" i="7" s="1"/>
  <c r="S36" i="6"/>
  <c r="S37" i="6"/>
  <c r="Y36" i="6"/>
  <c r="F38" i="4" s="1"/>
  <c r="I40" i="4"/>
  <c r="G9" i="7"/>
  <c r="B32" i="7" s="1"/>
  <c r="C32" i="7" s="1"/>
  <c r="D34" i="7" l="1"/>
  <c r="E34" i="7" s="1"/>
  <c r="D33" i="7"/>
  <c r="E33" i="7" s="1"/>
  <c r="D32" i="7"/>
  <c r="D28" i="7"/>
  <c r="C26" i="7"/>
  <c r="D26" i="7" s="1"/>
  <c r="K15" i="4"/>
  <c r="K36" i="4" s="1"/>
  <c r="F40" i="4" s="1"/>
  <c r="AD36" i="6"/>
  <c r="AA35" i="6" s="1"/>
  <c r="AE35" i="6" s="1"/>
  <c r="AE34" i="6" l="1"/>
  <c r="AE33" i="6" s="1"/>
  <c r="AA34" i="6"/>
  <c r="C9" i="7"/>
  <c r="B9" i="7"/>
  <c r="J9" i="7"/>
  <c r="AA33" i="6" l="1"/>
  <c r="AE32" i="6"/>
  <c r="AA32" i="6"/>
  <c r="AA36" i="6"/>
  <c r="F43" i="4" s="1"/>
  <c r="AA37" i="6"/>
  <c r="I41" i="4" s="1"/>
  <c r="B27" i="7"/>
  <c r="C27" i="7" s="1"/>
  <c r="AE31" i="6" l="1"/>
  <c r="AA31" i="6"/>
  <c r="K10" i="7"/>
  <c r="J20" i="7"/>
  <c r="B192" i="7" s="1"/>
  <c r="D12" i="7"/>
  <c r="L14" i="7"/>
  <c r="B101" i="7" s="1"/>
  <c r="G16" i="7"/>
  <c r="B137" i="7" s="1"/>
  <c r="G13" i="7"/>
  <c r="B92" i="7" s="1"/>
  <c r="J10" i="7"/>
  <c r="B42" i="7" s="1"/>
  <c r="C42" i="7" s="1"/>
  <c r="D42" i="7" s="1"/>
  <c r="K16" i="7"/>
  <c r="C16" i="7"/>
  <c r="C11" i="7"/>
  <c r="L10" i="7"/>
  <c r="B41" i="7" s="1"/>
  <c r="C41" i="7" s="1"/>
  <c r="D41" i="7" s="1"/>
  <c r="F19" i="7"/>
  <c r="B181" i="7" s="1"/>
  <c r="K15" i="7"/>
  <c r="K14" i="7"/>
  <c r="B16" i="7"/>
  <c r="B14" i="7"/>
  <c r="F11" i="7"/>
  <c r="B61" i="7" s="1"/>
  <c r="G17" i="7"/>
  <c r="B152" i="7" s="1"/>
  <c r="L18" i="7"/>
  <c r="B161" i="7" s="1"/>
  <c r="I10" i="7"/>
  <c r="I13" i="7"/>
  <c r="B88" i="7" s="1"/>
  <c r="E18" i="7"/>
  <c r="B165" i="7" s="1"/>
  <c r="J11" i="7"/>
  <c r="B57" i="7" s="1"/>
  <c r="B12" i="7"/>
  <c r="F20" i="7"/>
  <c r="B196" i="7" s="1"/>
  <c r="L20" i="7"/>
  <c r="B191" i="7" s="1"/>
  <c r="G12" i="7"/>
  <c r="B77" i="7" s="1"/>
  <c r="K13" i="7"/>
  <c r="D20" i="7"/>
  <c r="L13" i="7"/>
  <c r="B86" i="7" s="1"/>
  <c r="J16" i="7"/>
  <c r="B132" i="7" s="1"/>
  <c r="L19" i="7"/>
  <c r="B176" i="7" s="1"/>
  <c r="G11" i="7"/>
  <c r="B62" i="7" s="1"/>
  <c r="F14" i="7"/>
  <c r="B106" i="7" s="1"/>
  <c r="F16" i="7"/>
  <c r="B136" i="7" s="1"/>
  <c r="K19" i="7"/>
  <c r="F18" i="7"/>
  <c r="B166" i="7" s="1"/>
  <c r="C12" i="7"/>
  <c r="B10" i="7"/>
  <c r="J17" i="7"/>
  <c r="B147" i="7" s="1"/>
  <c r="B19" i="7"/>
  <c r="I11" i="7"/>
  <c r="B58" i="7" s="1"/>
  <c r="B13" i="7"/>
  <c r="G15" i="7"/>
  <c r="B122" i="7" s="1"/>
  <c r="E16" i="7"/>
  <c r="B135" i="7" s="1"/>
  <c r="D19" i="7"/>
  <c r="I20" i="7"/>
  <c r="B193" i="7" s="1"/>
  <c r="F13" i="7"/>
  <c r="B91" i="7" s="1"/>
  <c r="F17" i="7"/>
  <c r="B151" i="7" s="1"/>
  <c r="I17" i="7"/>
  <c r="B148" i="7" s="1"/>
  <c r="F12" i="7"/>
  <c r="B76" i="7" s="1"/>
  <c r="C17" i="7"/>
  <c r="I14" i="7"/>
  <c r="B103" i="7" s="1"/>
  <c r="B20" i="7"/>
  <c r="J13" i="7"/>
  <c r="B87" i="7" s="1"/>
  <c r="J15" i="7"/>
  <c r="B117" i="7" s="1"/>
  <c r="I19" i="7"/>
  <c r="B178" i="7" s="1"/>
  <c r="C13" i="7"/>
  <c r="K11" i="7"/>
  <c r="G18" i="7"/>
  <c r="B167" i="7" s="1"/>
  <c r="L15" i="7"/>
  <c r="B116" i="7" s="1"/>
  <c r="B11" i="7"/>
  <c r="K12" i="7"/>
  <c r="F10" i="7"/>
  <c r="B46" i="7" s="1"/>
  <c r="C46" i="7" s="1"/>
  <c r="D46" i="7" s="1"/>
  <c r="G20" i="7"/>
  <c r="B197" i="7" s="1"/>
  <c r="L12" i="7"/>
  <c r="B71" i="7" s="1"/>
  <c r="E17" i="7"/>
  <c r="B150" i="7" s="1"/>
  <c r="D14" i="7"/>
  <c r="D11" i="7"/>
  <c r="C18" i="7"/>
  <c r="J14" i="7"/>
  <c r="B102" i="7" s="1"/>
  <c r="G19" i="7"/>
  <c r="B182" i="7" s="1"/>
  <c r="F15" i="7"/>
  <c r="B121" i="7" s="1"/>
  <c r="G14" i="7"/>
  <c r="B107" i="7" s="1"/>
  <c r="K20" i="7"/>
  <c r="D18" i="7"/>
  <c r="E15" i="7"/>
  <c r="B120" i="7" s="1"/>
  <c r="K17" i="7"/>
  <c r="C20" i="7"/>
  <c r="C15" i="7"/>
  <c r="G10" i="7"/>
  <c r="B47" i="7" s="1"/>
  <c r="C47" i="7" s="1"/>
  <c r="D47" i="7" s="1"/>
  <c r="K18" i="7"/>
  <c r="L11" i="7"/>
  <c r="B56" i="7" s="1"/>
  <c r="D15" i="7"/>
  <c r="L17" i="7"/>
  <c r="B146" i="7" s="1"/>
  <c r="L16" i="7"/>
  <c r="B131" i="7" s="1"/>
  <c r="J12" i="7"/>
  <c r="B72" i="7" s="1"/>
  <c r="E11" i="7"/>
  <c r="B60" i="7" s="1"/>
  <c r="E20" i="7"/>
  <c r="B195" i="7" s="1"/>
  <c r="J19" i="7"/>
  <c r="B177" i="7" s="1"/>
  <c r="E10" i="7"/>
  <c r="B45" i="7" s="1"/>
  <c r="C45" i="7" s="1"/>
  <c r="D45" i="7" s="1"/>
  <c r="I18" i="7"/>
  <c r="B163" i="7" s="1"/>
  <c r="D10" i="7"/>
  <c r="B15" i="7"/>
  <c r="E14" i="7"/>
  <c r="B105" i="7" s="1"/>
  <c r="D16" i="7"/>
  <c r="I12" i="7"/>
  <c r="B73" i="7" s="1"/>
  <c r="C10" i="7"/>
  <c r="J18" i="7"/>
  <c r="B162" i="7" s="1"/>
  <c r="B18" i="7"/>
  <c r="C14" i="7"/>
  <c r="E13" i="7"/>
  <c r="B90" i="7" s="1"/>
  <c r="I16" i="7"/>
  <c r="B133" i="7" s="1"/>
  <c r="D17" i="7"/>
  <c r="C19" i="7"/>
  <c r="B17" i="7"/>
  <c r="I15" i="7"/>
  <c r="B118" i="7" s="1"/>
  <c r="E12" i="7"/>
  <c r="B75" i="7" s="1"/>
  <c r="D13" i="7"/>
  <c r="E19" i="7"/>
  <c r="B180" i="7" s="1"/>
  <c r="F41" i="4"/>
  <c r="F9" i="7"/>
  <c r="B31" i="7" s="1"/>
  <c r="C31" i="7" s="1"/>
  <c r="E9" i="7"/>
  <c r="D9" i="7"/>
  <c r="F42" i="4"/>
  <c r="D27" i="7"/>
  <c r="D73" i="7" l="1"/>
  <c r="C73" i="7"/>
  <c r="D72" i="7"/>
  <c r="C72" i="7"/>
  <c r="D131" i="7"/>
  <c r="C131" i="7"/>
  <c r="C135" i="7"/>
  <c r="D135" i="7"/>
  <c r="D162" i="7"/>
  <c r="C162" i="7"/>
  <c r="D152" i="7"/>
  <c r="C152" i="7"/>
  <c r="D178" i="7"/>
  <c r="C178" i="7"/>
  <c r="D166" i="7"/>
  <c r="C166" i="7"/>
  <c r="C61" i="7"/>
  <c r="D61" i="7"/>
  <c r="C117" i="7"/>
  <c r="D117" i="7"/>
  <c r="D87" i="7"/>
  <c r="C87" i="7"/>
  <c r="D136" i="7"/>
  <c r="C136" i="7"/>
  <c r="C106" i="7"/>
  <c r="D106" i="7"/>
  <c r="D120" i="7"/>
  <c r="C120" i="7"/>
  <c r="D103" i="7"/>
  <c r="C103" i="7"/>
  <c r="D62" i="7"/>
  <c r="C62" i="7"/>
  <c r="D181" i="7"/>
  <c r="C181" i="7"/>
  <c r="D182" i="7"/>
  <c r="C182" i="7"/>
  <c r="D132" i="7"/>
  <c r="C132" i="7"/>
  <c r="C105" i="7"/>
  <c r="D105" i="7"/>
  <c r="D107" i="7"/>
  <c r="C107" i="7"/>
  <c r="C121" i="7"/>
  <c r="D121" i="7"/>
  <c r="D176" i="7"/>
  <c r="C176" i="7"/>
  <c r="C102" i="7"/>
  <c r="D102" i="7"/>
  <c r="D76" i="7"/>
  <c r="C76" i="7"/>
  <c r="D180" i="7"/>
  <c r="C180" i="7"/>
  <c r="D177" i="7"/>
  <c r="C177" i="7"/>
  <c r="D148" i="7"/>
  <c r="C148" i="7"/>
  <c r="C86" i="7"/>
  <c r="D86" i="7"/>
  <c r="C151" i="7"/>
  <c r="D151" i="7"/>
  <c r="D163" i="7"/>
  <c r="C163" i="7"/>
  <c r="C195" i="7"/>
  <c r="D195" i="7"/>
  <c r="C75" i="7"/>
  <c r="D75" i="7"/>
  <c r="C60" i="7"/>
  <c r="D60" i="7"/>
  <c r="C91" i="7"/>
  <c r="D91" i="7"/>
  <c r="C150" i="7"/>
  <c r="D150" i="7"/>
  <c r="D193" i="7"/>
  <c r="C193" i="7"/>
  <c r="D77" i="7"/>
  <c r="C77" i="7"/>
  <c r="C191" i="7"/>
  <c r="D191" i="7"/>
  <c r="D92" i="7"/>
  <c r="C92" i="7"/>
  <c r="D197" i="7"/>
  <c r="C197" i="7"/>
  <c r="C196" i="7"/>
  <c r="D196" i="7"/>
  <c r="D137" i="7"/>
  <c r="C137" i="7"/>
  <c r="D146" i="7"/>
  <c r="C146" i="7"/>
  <c r="C122" i="7"/>
  <c r="D122" i="7"/>
  <c r="D101" i="7"/>
  <c r="C101" i="7"/>
  <c r="D57" i="7"/>
  <c r="C57" i="7"/>
  <c r="C58" i="7"/>
  <c r="D58" i="7"/>
  <c r="D192" i="7"/>
  <c r="C192" i="7"/>
  <c r="D118" i="7"/>
  <c r="C118" i="7"/>
  <c r="D133" i="7"/>
  <c r="C133" i="7"/>
  <c r="D116" i="7"/>
  <c r="C116" i="7"/>
  <c r="C88" i="7"/>
  <c r="D88" i="7"/>
  <c r="D56" i="7"/>
  <c r="C56" i="7"/>
  <c r="D90" i="7"/>
  <c r="C90" i="7"/>
  <c r="D165" i="7"/>
  <c r="C165" i="7"/>
  <c r="D167" i="7"/>
  <c r="C167" i="7"/>
  <c r="D147" i="7"/>
  <c r="C147" i="7"/>
  <c r="B43" i="7"/>
  <c r="C43" i="7" s="1"/>
  <c r="D43" i="7" s="1"/>
  <c r="J6" i="7"/>
  <c r="D71" i="7"/>
  <c r="C71" i="7"/>
  <c r="D161" i="7"/>
  <c r="C161" i="7"/>
  <c r="AE30" i="6"/>
  <c r="AA30" i="6"/>
  <c r="H14" i="7"/>
  <c r="B104" i="7" s="1"/>
  <c r="H15" i="7"/>
  <c r="B119" i="7" s="1"/>
  <c r="H20" i="7"/>
  <c r="B194" i="7" s="1"/>
  <c r="H12" i="7"/>
  <c r="B74" i="7" s="1"/>
  <c r="B80" i="7" s="1"/>
  <c r="C80" i="7" s="1"/>
  <c r="D80" i="7" s="1"/>
  <c r="H11" i="7"/>
  <c r="B59" i="7" s="1"/>
  <c r="B65" i="7" s="1"/>
  <c r="H10" i="7"/>
  <c r="B44" i="7" s="1"/>
  <c r="C44" i="7" s="1"/>
  <c r="D44" i="7" s="1"/>
  <c r="D5" i="7"/>
  <c r="D6" i="7" s="1"/>
  <c r="H17" i="7"/>
  <c r="B149" i="7" s="1"/>
  <c r="B155" i="7" s="1"/>
  <c r="H16" i="7"/>
  <c r="B134" i="7" s="1"/>
  <c r="B140" i="7" s="1"/>
  <c r="C140" i="7" s="1"/>
  <c r="D140" i="7" s="1"/>
  <c r="H19" i="7"/>
  <c r="B179" i="7" s="1"/>
  <c r="B185" i="7" s="1"/>
  <c r="C185" i="7" s="1"/>
  <c r="D185" i="7" s="1"/>
  <c r="H13" i="7"/>
  <c r="B89" i="7" s="1"/>
  <c r="B95" i="7" s="1"/>
  <c r="C95" i="7" s="1"/>
  <c r="D95" i="7" s="1"/>
  <c r="H18" i="7"/>
  <c r="B164" i="7" s="1"/>
  <c r="D31" i="7"/>
  <c r="B30" i="7"/>
  <c r="H9" i="7"/>
  <c r="AE29" i="6" l="1"/>
  <c r="AA29" i="6"/>
  <c r="B50" i="7"/>
  <c r="C50" i="7" s="1"/>
  <c r="D50" i="7" s="1"/>
  <c r="D51" i="7" s="1"/>
  <c r="C59" i="7"/>
  <c r="D59" i="7"/>
  <c r="C74" i="7"/>
  <c r="D74" i="7"/>
  <c r="D81" i="7" s="1"/>
  <c r="D194" i="7"/>
  <c r="C194" i="7"/>
  <c r="D155" i="7"/>
  <c r="C155" i="7"/>
  <c r="D104" i="7"/>
  <c r="C104" i="7"/>
  <c r="B200" i="7"/>
  <c r="C200" i="7" s="1"/>
  <c r="D200" i="7" s="1"/>
  <c r="AE28" i="6"/>
  <c r="AA28" i="6"/>
  <c r="C30" i="7"/>
  <c r="D30" i="7" s="1"/>
  <c r="D119" i="7"/>
  <c r="C119" i="7"/>
  <c r="C89" i="7"/>
  <c r="D89" i="7"/>
  <c r="D96" i="7" s="1"/>
  <c r="D164" i="7"/>
  <c r="C164" i="7"/>
  <c r="D179" i="7"/>
  <c r="D186" i="7" s="1"/>
  <c r="C179" i="7"/>
  <c r="D134" i="7"/>
  <c r="D141" i="7" s="1"/>
  <c r="C134" i="7"/>
  <c r="D149" i="7"/>
  <c r="C149" i="7"/>
  <c r="B125" i="7"/>
  <c r="B110" i="7"/>
  <c r="C110" i="7" s="1"/>
  <c r="D110" i="7" s="1"/>
  <c r="C65" i="7"/>
  <c r="D65" i="7"/>
  <c r="B170" i="7"/>
  <c r="C170" i="7" s="1"/>
  <c r="D170" i="7" s="1"/>
  <c r="B29" i="7"/>
  <c r="B35" i="7" s="1"/>
  <c r="C35" i="7" s="1"/>
  <c r="O19" i="7" a="1"/>
  <c r="AE27" i="6" l="1"/>
  <c r="AA27" i="6"/>
  <c r="D171" i="7"/>
  <c r="D111" i="7"/>
  <c r="D201" i="7"/>
  <c r="D156" i="7"/>
  <c r="D66" i="7"/>
  <c r="D125" i="7"/>
  <c r="D126" i="7" s="1"/>
  <c r="C125" i="7"/>
  <c r="C29" i="7"/>
  <c r="D29" i="7" s="1"/>
  <c r="D35" i="7"/>
  <c r="O19" i="7"/>
  <c r="O13" i="7" a="1"/>
  <c r="O14" i="7" a="1"/>
  <c r="O12" i="7" a="1"/>
  <c r="O15" i="7" a="1"/>
  <c r="O10" i="7" a="1"/>
  <c r="O16" i="7" a="1"/>
  <c r="O11" i="7" a="1"/>
  <c r="O20" i="7" a="1"/>
  <c r="O18" i="7" a="1"/>
  <c r="O17" i="7" a="1"/>
  <c r="AE26" i="6" l="1"/>
  <c r="AA26" i="6"/>
  <c r="D36" i="7"/>
  <c r="O13" i="7"/>
  <c r="O11" i="7"/>
  <c r="O20" i="7"/>
  <c r="O10" i="7"/>
  <c r="O18" i="7"/>
  <c r="O16" i="7"/>
  <c r="O14" i="7"/>
  <c r="O12" i="7"/>
  <c r="O17" i="7"/>
  <c r="O15" i="7"/>
  <c r="O9" i="7" a="1"/>
  <c r="AA25" i="6" l="1"/>
  <c r="AE25" i="6"/>
  <c r="O9" i="7"/>
  <c r="O21" i="7" s="1"/>
  <c r="AE24" i="6" l="1"/>
  <c r="AA24" i="6"/>
  <c r="AE23" i="6" l="1"/>
  <c r="AA23" i="6"/>
  <c r="AE22" i="6" l="1"/>
  <c r="AA22" i="6"/>
  <c r="AA19" i="6"/>
  <c r="AE21" i="6" l="1"/>
  <c r="AA21" i="6"/>
  <c r="AA18" i="6"/>
  <c r="AA20" i="6" l="1"/>
  <c r="AE20" i="6"/>
  <c r="AE19" i="6" s="1"/>
  <c r="AE18" i="6" s="1"/>
  <c r="AE17" i="6" s="1"/>
  <c r="AA17" i="6"/>
  <c r="AA16" i="6" l="1"/>
  <c r="AE16" i="6"/>
  <c r="AE15" i="6" l="1"/>
  <c r="AA15" i="6"/>
  <c r="AE14" i="6" l="1"/>
  <c r="AA14" i="6"/>
  <c r="AE13" i="6" l="1"/>
  <c r="AA13" i="6"/>
  <c r="AA9" i="6"/>
  <c r="AE12" i="6" l="1"/>
  <c r="AA12" i="6"/>
  <c r="AE11" i="6" l="1"/>
  <c r="AA11" i="6"/>
  <c r="AA6" i="6"/>
  <c r="AE10" i="6" l="1"/>
  <c r="AE9" i="6" s="1"/>
  <c r="AA10" i="6"/>
  <c r="AE8" i="6" l="1"/>
  <c r="AA8" i="6"/>
  <c r="AA4" i="6"/>
  <c r="AE7" i="6" l="1"/>
  <c r="AE6" i="6" s="1"/>
  <c r="AA7" i="6"/>
  <c r="AE5" i="6" l="1"/>
  <c r="AE4" i="6" s="1"/>
  <c r="AA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<sst xmlns="http://schemas.openxmlformats.org/spreadsheetml/2006/main" count="898" uniqueCount="293">
  <si>
    <t>Harland</t>
  </si>
  <si>
    <t>Unterradlberg</t>
  </si>
  <si>
    <t>Mo-Fr</t>
  </si>
  <si>
    <t>Sa</t>
  </si>
  <si>
    <t>So</t>
  </si>
  <si>
    <t>Einsatzzeit</t>
  </si>
  <si>
    <t>Pausenabzug</t>
  </si>
  <si>
    <t>Diäten</t>
  </si>
  <si>
    <t>Kurs von</t>
  </si>
  <si>
    <t>Kurs bis</t>
  </si>
  <si>
    <t>bezahlte Zeit</t>
  </si>
  <si>
    <t>Pause</t>
  </si>
  <si>
    <t>Dienst</t>
  </si>
  <si>
    <t>Ende</t>
  </si>
  <si>
    <t>Haltepunkte</t>
  </si>
  <si>
    <t>Listendaten</t>
  </si>
  <si>
    <t>Bezeichnung</t>
  </si>
  <si>
    <t>AZ</t>
  </si>
  <si>
    <t>leer</t>
  </si>
  <si>
    <t>Friedhof</t>
  </si>
  <si>
    <t>Kremserberg</t>
  </si>
  <si>
    <t>Buswechsel</t>
  </si>
  <si>
    <t>BW</t>
  </si>
  <si>
    <t>Arbeitszeit</t>
  </si>
  <si>
    <t>mit Linie 8</t>
  </si>
  <si>
    <t>Linienwechsel</t>
  </si>
  <si>
    <t>LW</t>
  </si>
  <si>
    <t>Hauptbahnhof A</t>
  </si>
  <si>
    <t>Hauptbahnhof B</t>
  </si>
  <si>
    <t>Ginstergasse</t>
  </si>
  <si>
    <t>RZ</t>
  </si>
  <si>
    <t>Regiezeit</t>
  </si>
  <si>
    <t>Linie</t>
  </si>
  <si>
    <t>Linie 2</t>
  </si>
  <si>
    <t>Linie 4</t>
  </si>
  <si>
    <t>Linie 8</t>
  </si>
  <si>
    <t>Linie 3</t>
  </si>
  <si>
    <t>Linie 9</t>
  </si>
  <si>
    <t>Name:</t>
  </si>
  <si>
    <t>Monat:</t>
  </si>
  <si>
    <t>September</t>
  </si>
  <si>
    <t>Jahr:</t>
  </si>
  <si>
    <t>Dat.</t>
  </si>
  <si>
    <t>Tour</t>
  </si>
  <si>
    <t>Gruppe</t>
  </si>
  <si>
    <t>Zeit</t>
  </si>
  <si>
    <t>Verrechnete Zeit</t>
  </si>
  <si>
    <t>Spesenvergütg. Anz.</t>
  </si>
  <si>
    <t>Erschw. Zul. Anzahl</t>
  </si>
  <si>
    <t>Überstd. Anz.</t>
  </si>
  <si>
    <t>bis</t>
  </si>
  <si>
    <t xml:space="preserve">von </t>
  </si>
  <si>
    <t>Miet- wagen</t>
  </si>
  <si>
    <t>Mietw. Nacht</t>
  </si>
  <si>
    <t>Mietw. Ausland</t>
  </si>
  <si>
    <t>50 %  frei</t>
  </si>
  <si>
    <t>SFN, 100 % frei</t>
  </si>
  <si>
    <t xml:space="preserve"> </t>
  </si>
  <si>
    <t>Summe:</t>
  </si>
  <si>
    <t>Krankenstand von-bis:</t>
  </si>
  <si>
    <t>Stunden Feiertag, wenn nicht gearbeitet:</t>
  </si>
  <si>
    <t>Tage Krankenstand:</t>
  </si>
  <si>
    <t>Summe Stunden:</t>
  </si>
  <si>
    <t>Urlaub von-bis:</t>
  </si>
  <si>
    <t>ÜSTD 50 % pfl.:</t>
  </si>
  <si>
    <t>Tage Urlaub:</t>
  </si>
  <si>
    <t>ÜSTD 50 % frei:</t>
  </si>
  <si>
    <t>Gutstunden anschreiben:</t>
  </si>
  <si>
    <t>SFN Zuschlag:</t>
  </si>
  <si>
    <t>Gutstunden abrechnen:</t>
  </si>
  <si>
    <t>Stefanitag</t>
  </si>
  <si>
    <t>Christtag</t>
  </si>
  <si>
    <t>Maria Empfängnis</t>
  </si>
  <si>
    <t>Allerheiligen</t>
  </si>
  <si>
    <t>Nationalfeiertag</t>
  </si>
  <si>
    <t>Maria Himmelfahrt</t>
  </si>
  <si>
    <t>Fronleichnam</t>
  </si>
  <si>
    <t>Pfingstmontag</t>
  </si>
  <si>
    <t>Pfingstsonntag</t>
  </si>
  <si>
    <t>Christi Himmelfahrt</t>
  </si>
  <si>
    <t>Tagesarbeitszeit</t>
  </si>
  <si>
    <t>Staatsfeiertag</t>
  </si>
  <si>
    <t>Arbeitstage</t>
  </si>
  <si>
    <t>Ostermontag</t>
  </si>
  <si>
    <t>Wochenstunden</t>
  </si>
  <si>
    <t>Krankenstand</t>
  </si>
  <si>
    <t>Ostersonntag</t>
  </si>
  <si>
    <t>Name</t>
  </si>
  <si>
    <t>Urlaub</t>
  </si>
  <si>
    <t>Heilige Drei Könige</t>
  </si>
  <si>
    <t>Jahr</t>
  </si>
  <si>
    <t>Neujahr</t>
  </si>
  <si>
    <t>Feiertage</t>
  </si>
  <si>
    <t>Datenblatt</t>
  </si>
  <si>
    <t>SZ</t>
  </si>
  <si>
    <t>Stundenaufzeichnung -</t>
  </si>
  <si>
    <t>Beginn Arbeitswoche</t>
  </si>
  <si>
    <t>Wochenstart</t>
  </si>
  <si>
    <t>Montag</t>
  </si>
  <si>
    <t>Dienstag</t>
  </si>
  <si>
    <t>Mittwoch</t>
  </si>
  <si>
    <t>Donnerstag</t>
  </si>
  <si>
    <t>Freitag</t>
  </si>
  <si>
    <t>Samstag</t>
  </si>
  <si>
    <t>Sonntag</t>
  </si>
  <si>
    <t>zu Fuß</t>
  </si>
  <si>
    <t>S33</t>
  </si>
  <si>
    <t>mit Linie 8 B</t>
  </si>
  <si>
    <t>Rudolf-Tornar-Straße</t>
  </si>
  <si>
    <t>Stifterstraße</t>
  </si>
  <si>
    <t>J.-Trautmannsdorff-Straße</t>
  </si>
  <si>
    <t>mit Linie 8 A</t>
  </si>
  <si>
    <t>Feiertagsstunden</t>
  </si>
  <si>
    <t>Freie Tage</t>
  </si>
  <si>
    <t xml:space="preserve">SFN, 100 % </t>
  </si>
  <si>
    <t>Nachtstunden</t>
  </si>
  <si>
    <t>Regiezeit gesamt</t>
  </si>
  <si>
    <t>Kr</t>
  </si>
  <si>
    <t>Ur</t>
  </si>
  <si>
    <t>Einstellungsdatum</t>
  </si>
  <si>
    <t>Monate</t>
  </si>
  <si>
    <t>Februar</t>
  </si>
  <si>
    <t>März</t>
  </si>
  <si>
    <t>April</t>
  </si>
  <si>
    <t>Mai</t>
  </si>
  <si>
    <t>Juni</t>
  </si>
  <si>
    <t>Juli</t>
  </si>
  <si>
    <t>August</t>
  </si>
  <si>
    <t>Oktober</t>
  </si>
  <si>
    <t>November</t>
  </si>
  <si>
    <t>Dezember</t>
  </si>
  <si>
    <t>Abrechnung</t>
  </si>
  <si>
    <t>Summe STD</t>
  </si>
  <si>
    <t>ÜSTD 50 %</t>
  </si>
  <si>
    <t>ÜSTD 100 %</t>
  </si>
  <si>
    <t>KR-Tage</t>
  </si>
  <si>
    <t>UR-Tage</t>
  </si>
  <si>
    <t>Urlaubstage pro Jahr</t>
  </si>
  <si>
    <t>Soll-AZ</t>
  </si>
  <si>
    <t>bez. Feiert.</t>
  </si>
  <si>
    <t>Urlaubstage gesamt:</t>
  </si>
  <si>
    <t>Urlaubstage verbraucht:</t>
  </si>
  <si>
    <t>Urlaubstage offen:</t>
  </si>
  <si>
    <t>VZ bis</t>
  </si>
  <si>
    <t>Vorb.zeit</t>
  </si>
  <si>
    <t>Nachb.zeit</t>
  </si>
  <si>
    <t>Regiezeit ges.</t>
  </si>
  <si>
    <t>NZ bis</t>
  </si>
  <si>
    <t>VZ</t>
  </si>
  <si>
    <t>NZ</t>
  </si>
  <si>
    <t xml:space="preserve">VZ von </t>
  </si>
  <si>
    <t>NZ von</t>
  </si>
  <si>
    <t>P von</t>
  </si>
  <si>
    <t>P bis</t>
  </si>
  <si>
    <t>EZ h</t>
  </si>
  <si>
    <t>Nachtzeit</t>
  </si>
  <si>
    <t xml:space="preserve">Früh von </t>
  </si>
  <si>
    <t>Früh bis</t>
  </si>
  <si>
    <t>Nacht von</t>
  </si>
  <si>
    <t>Nacht bis</t>
  </si>
  <si>
    <t>ZeitstempelDienste</t>
  </si>
  <si>
    <t>Sverweis</t>
  </si>
  <si>
    <t>Wtag</t>
  </si>
  <si>
    <t>Einsatz-
Zeit</t>
  </si>
  <si>
    <t>Jänner</t>
  </si>
  <si>
    <t>max. unbezahlte Pause</t>
  </si>
  <si>
    <t>ÜSTD 50%/10</t>
  </si>
  <si>
    <t>ÜSTD 50% pf</t>
  </si>
  <si>
    <t>ÜSTD Grund</t>
  </si>
  <si>
    <t>Stundensatz:</t>
  </si>
  <si>
    <t>Tagesstunden:</t>
  </si>
  <si>
    <t>Spesenvergütung</t>
  </si>
  <si>
    <t>Art</t>
  </si>
  <si>
    <t>Einheiten</t>
  </si>
  <si>
    <t>Satz</t>
  </si>
  <si>
    <t>Betrag</t>
  </si>
  <si>
    <t>Urlaub Entgelt</t>
  </si>
  <si>
    <t>Überstd. Grundlohn</t>
  </si>
  <si>
    <t>ÜSTD-zu 50%/10</t>
  </si>
  <si>
    <t>ÜSTD-zu 50% pf.</t>
  </si>
  <si>
    <t>ÜSTD-zu 100% fr</t>
  </si>
  <si>
    <t>UB</t>
  </si>
  <si>
    <t>WR</t>
  </si>
  <si>
    <t>Bruttonormalstunden</t>
  </si>
  <si>
    <t>Bruttomonatslohn</t>
  </si>
  <si>
    <t>geschä. Bruttolohn</t>
  </si>
  <si>
    <t>BruttoJahresgehalt:</t>
  </si>
  <si>
    <t>UR Monat:</t>
  </si>
  <si>
    <t>WR Monat:</t>
  </si>
  <si>
    <t>Übertrag Urlaubstage</t>
  </si>
  <si>
    <t>Übertrag Urlabustage:</t>
  </si>
  <si>
    <t>Urlaubstage ab Anstellung</t>
  </si>
  <si>
    <t xml:space="preserve"> gesamte Arbeitsstunden:</t>
  </si>
  <si>
    <t>Feiert. nicht gearb.</t>
  </si>
  <si>
    <t>tatsächlich Arbeitszeit</t>
  </si>
  <si>
    <t>ber. 50%</t>
  </si>
  <si>
    <t>von</t>
  </si>
  <si>
    <t>Dummy Name</t>
  </si>
  <si>
    <t>Anmerkung</t>
  </si>
  <si>
    <t>Stundensatz</t>
  </si>
  <si>
    <t>Urlaub-/Krank.-Satz</t>
  </si>
  <si>
    <t>Diätensatz</t>
  </si>
  <si>
    <t>druchs. Diätensatz:</t>
  </si>
  <si>
    <t>druchs. Urlaubssatz:</t>
  </si>
  <si>
    <t>druchs. Krankenstandssatz:</t>
  </si>
  <si>
    <t>Krankenstandstage:</t>
  </si>
  <si>
    <t>EFZ (Krankenstand)</t>
  </si>
  <si>
    <t>Bem.</t>
  </si>
  <si>
    <t>Dienst 1</t>
  </si>
  <si>
    <t>Dienst 2</t>
  </si>
  <si>
    <t>Dienst 3</t>
  </si>
  <si>
    <t>Dienst 4</t>
  </si>
  <si>
    <t>Dienst 5</t>
  </si>
  <si>
    <t>Dienst 6</t>
  </si>
  <si>
    <t>Dienst 7</t>
  </si>
  <si>
    <t>Dienst 8</t>
  </si>
  <si>
    <t>Dienst 9</t>
  </si>
  <si>
    <t>Dienst 10</t>
  </si>
  <si>
    <t>Dienst 11</t>
  </si>
  <si>
    <t>Dienst 12</t>
  </si>
  <si>
    <t>Dienst 13</t>
  </si>
  <si>
    <t>Dienst 14</t>
  </si>
  <si>
    <t>Dienst 15</t>
  </si>
  <si>
    <t>Dienst 16</t>
  </si>
  <si>
    <t>Dienst 17</t>
  </si>
  <si>
    <t>Dienst 18</t>
  </si>
  <si>
    <t>Dienst 19</t>
  </si>
  <si>
    <t>Dienst 20</t>
  </si>
  <si>
    <t>Dienst 21</t>
  </si>
  <si>
    <t>Dienst 22</t>
  </si>
  <si>
    <t>Dienst 23 mR</t>
  </si>
  <si>
    <t>Dienst 23 oR</t>
  </si>
  <si>
    <t>Dienst 24 mR</t>
  </si>
  <si>
    <t>Dienst 24 oR</t>
  </si>
  <si>
    <t>Dienst 25</t>
  </si>
  <si>
    <t>Dienst 26</t>
  </si>
  <si>
    <t>Dienst 27</t>
  </si>
  <si>
    <t>Dienst 28</t>
  </si>
  <si>
    <t>Dienst 1 Sa</t>
  </si>
  <si>
    <t>Dienst 2 Sa</t>
  </si>
  <si>
    <t>Dienst 3 Sa</t>
  </si>
  <si>
    <t>Dienst 4 Sa</t>
  </si>
  <si>
    <t>Dienst 5 Sa</t>
  </si>
  <si>
    <t>Dienst 6 Sa</t>
  </si>
  <si>
    <t>Dienst 7 Sa</t>
  </si>
  <si>
    <t>Dienst 8 Sa</t>
  </si>
  <si>
    <t>Dienst 9 Sa mR</t>
  </si>
  <si>
    <t>Dienst 9 Sa oR</t>
  </si>
  <si>
    <t>Dienst 10 Sa</t>
  </si>
  <si>
    <t>Dienst 11 Sa</t>
  </si>
  <si>
    <t>Dienst 12 Sa</t>
  </si>
  <si>
    <t>Dienst 13 Sa</t>
  </si>
  <si>
    <t>Dienst 14 Sa</t>
  </si>
  <si>
    <t>Dienst 15 Sa</t>
  </si>
  <si>
    <t>Dienst 16 Sa mR</t>
  </si>
  <si>
    <t>Dienst 16 Sa oR</t>
  </si>
  <si>
    <t>Dienst 17 Sa</t>
  </si>
  <si>
    <t>Dienst 18 Sa</t>
  </si>
  <si>
    <t>Dienst 19 Sa</t>
  </si>
  <si>
    <t>Dienst 20 Sa</t>
  </si>
  <si>
    <t>Dienst 21 Sa</t>
  </si>
  <si>
    <t>Dienst 22 Sa</t>
  </si>
  <si>
    <t>Dienst 23 Sa mR</t>
  </si>
  <si>
    <t>Dienst 23 Sa oR</t>
  </si>
  <si>
    <t>Dienst 24 Sa mR</t>
  </si>
  <si>
    <t>Dienst 24 Sa oR</t>
  </si>
  <si>
    <t>Dienst 25 Sa</t>
  </si>
  <si>
    <t>Dienst 26 Sa mR</t>
  </si>
  <si>
    <t>Dienst 26 Sa oR</t>
  </si>
  <si>
    <t>Dienst 1 SoF</t>
  </si>
  <si>
    <t>Dienst 2 SoF</t>
  </si>
  <si>
    <t>Dienst 3 SoF</t>
  </si>
  <si>
    <t>Dienst 4 SoF</t>
  </si>
  <si>
    <t>Dienst 5 SoF</t>
  </si>
  <si>
    <t>Dienst 6 SoF</t>
  </si>
  <si>
    <t>Dienst 7 SoF</t>
  </si>
  <si>
    <t>Dienst 8 SoF</t>
  </si>
  <si>
    <t>Dienst 9 SoF</t>
  </si>
  <si>
    <t>Dienst 10 SoF</t>
  </si>
  <si>
    <t>Dienst 22 O</t>
  </si>
  <si>
    <t>Dienst 23</t>
  </si>
  <si>
    <t>Dienst 24</t>
  </si>
  <si>
    <t>Dienst 26 oR</t>
  </si>
  <si>
    <t>Dienst 26 mR</t>
  </si>
  <si>
    <t>Dienst 7 Sa oR</t>
  </si>
  <si>
    <t>Dienst 7 Sa mR</t>
  </si>
  <si>
    <t>Dienst 9 Sa</t>
  </si>
  <si>
    <t>Dienst 11 Sa oR</t>
  </si>
  <si>
    <t>Dienst 11 Sa mR</t>
  </si>
  <si>
    <t>Dienst 16 Sa</t>
  </si>
  <si>
    <t>Dienst 20 Sa oR</t>
  </si>
  <si>
    <t>Dienst 20 Sa mR</t>
  </si>
  <si>
    <t>Dienst 24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</si>
</sst>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€&quot;\ * #,##0.00_-;\-&quot;€&quot;\ * #,##0.00_-;_-&quot;€&quot;\ * &quot;-&quot;??_-;_-@_-"/>
    <numFmt numFmtId="164" formatCode="hh:mm;@"/>
    <numFmt numFmtId="165" formatCode="0.000"/>
    <numFmt numFmtId="166" formatCode="[$-F800]dddd\,\ mmmm\ dd\,\ yyyy"/>
    <numFmt numFmtId="167" formatCode="0.00&quot; frei&quot;"/>
    <numFmt numFmtId="168" formatCode="0.00&quot; pfl.&quot;"/>
    <numFmt numFmtId="169" formatCode="h:mm;@"/>
    <numFmt numFmtId="170" formatCode="0;\-0;;@"/>
    <numFmt numFmtId="171" formatCode="&quot;€&quot;\ #,##0.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name val="Arial"/>
      <family val="2"/>
    </font>
    <font>
      <b/>
      <sz val="7"/>
      <name val="Arial"/>
      <family val="2"/>
    </font>
    <font>
      <sz val="10"/>
      <color theme="1"/>
      <name val="Arial Unicode MS"/>
    </font>
    <font>
      <sz val="11"/>
      <name val="Calibri"/>
      <family val="2"/>
      <scheme val="minor"/>
    </font>
    <font>
      <b/>
      <sz val="15"/>
      <name val="Calibri"/>
      <family val="2"/>
      <scheme val="minor"/>
    </font>
    <font>
      <sz val="9"/>
      <name val="Calibri"/>
      <family val="2"/>
      <scheme val="minor"/>
    </font>
    <font>
      <sz val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hair">
        <color indexed="8"/>
      </right>
      <top/>
      <bottom style="double">
        <color indexed="8"/>
      </bottom>
      <diagonal/>
    </border>
    <border>
      <left style="hair">
        <color indexed="8"/>
      </left>
      <right style="thin">
        <color indexed="8"/>
      </right>
      <top/>
      <bottom style="double">
        <color indexed="8"/>
      </bottom>
      <diagonal/>
    </border>
    <border>
      <left style="hair">
        <color indexed="8"/>
      </left>
      <right style="hair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double">
        <color indexed="8"/>
      </left>
      <right style="double">
        <color indexed="8"/>
      </right>
      <top/>
      <bottom style="hair">
        <color indexed="8"/>
      </bottom>
      <diagonal/>
    </border>
    <border>
      <left style="hair">
        <color indexed="23"/>
      </left>
      <right style="hair">
        <color indexed="23"/>
      </right>
      <top style="double">
        <color indexed="8"/>
      </top>
      <bottom style="hair">
        <color indexed="8"/>
      </bottom>
      <diagonal/>
    </border>
    <border>
      <left style="hair">
        <color indexed="23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double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hair">
        <color indexed="8"/>
      </bottom>
      <diagonal/>
    </border>
    <border>
      <left/>
      <right style="hair">
        <color indexed="23"/>
      </right>
      <top style="double">
        <color indexed="8"/>
      </top>
      <bottom style="hair">
        <color indexed="8"/>
      </bottom>
      <diagonal/>
    </border>
    <border>
      <left/>
      <right style="hair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hair">
        <color indexed="23"/>
      </right>
      <top/>
      <bottom style="hair">
        <color indexed="8"/>
      </bottom>
      <diagonal/>
    </border>
    <border>
      <left style="hair">
        <color indexed="23"/>
      </left>
      <right style="hair">
        <color indexed="23"/>
      </right>
      <top/>
      <bottom style="hair">
        <color indexed="8"/>
      </bottom>
      <diagonal/>
    </border>
    <border>
      <left style="hair">
        <color indexed="23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hair">
        <color indexed="8"/>
      </top>
      <bottom style="thin">
        <color indexed="8"/>
      </bottom>
      <diagonal/>
    </border>
    <border>
      <left/>
      <right style="hair">
        <color indexed="23"/>
      </right>
      <top style="hair">
        <color indexed="8"/>
      </top>
      <bottom style="thin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8"/>
      </top>
      <bottom style="thin">
        <color indexed="8"/>
      </bottom>
      <diagonal/>
    </border>
    <border>
      <left style="hair">
        <color indexed="23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hair">
        <color indexed="23"/>
      </right>
      <top style="thin">
        <color indexed="8"/>
      </top>
      <bottom style="thin">
        <color indexed="8"/>
      </bottom>
      <diagonal/>
    </border>
    <border>
      <left style="hair">
        <color indexed="23"/>
      </left>
      <right style="hair">
        <color indexed="23"/>
      </right>
      <top style="thin">
        <color indexed="8"/>
      </top>
      <bottom style="thin">
        <color indexed="8"/>
      </bottom>
      <diagonal/>
    </border>
    <border>
      <left style="hair">
        <color indexed="23"/>
      </left>
      <right/>
      <top style="thin">
        <color indexed="8"/>
      </top>
      <bottom style="thin">
        <color indexed="8"/>
      </bottom>
      <diagonal/>
    </border>
    <border>
      <left/>
      <right style="hair">
        <color indexed="23"/>
      </right>
      <top style="thin">
        <color indexed="8"/>
      </top>
      <bottom style="thin">
        <color indexed="8"/>
      </bottom>
      <diagonal/>
    </border>
    <border>
      <left style="hair">
        <color indexed="2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hair">
        <color indexed="8"/>
      </bottom>
      <diagonal/>
    </border>
    <border>
      <left/>
      <right/>
      <top style="double">
        <color indexed="8"/>
      </top>
      <bottom style="hair">
        <color indexed="8"/>
      </bottom>
      <diagonal/>
    </border>
    <border>
      <left/>
      <right style="thin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7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/>
    <xf numFmtId="166" fontId="3" fillId="0" borderId="0" xfId="0" applyNumberFormat="1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19" xfId="0" applyFont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3" fillId="0" borderId="19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9" fontId="10" fillId="0" borderId="0" xfId="0" applyNumberFormat="1" applyFont="1" applyBorder="1" applyAlignment="1">
      <alignment horizontal="center" wrapText="1"/>
    </xf>
    <xf numFmtId="14" fontId="0" fillId="0" borderId="0" xfId="0" applyNumberFormat="1"/>
    <xf numFmtId="0" fontId="8" fillId="0" borderId="0" xfId="0" applyFont="1" applyAlignment="1"/>
    <xf numFmtId="0" fontId="9" fillId="0" borderId="0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167" fontId="3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66" fontId="3" fillId="0" borderId="20" xfId="0" applyNumberFormat="1" applyFont="1" applyBorder="1"/>
    <xf numFmtId="0" fontId="3" fillId="0" borderId="20" xfId="0" applyFont="1" applyBorder="1"/>
    <xf numFmtId="2" fontId="3" fillId="0" borderId="20" xfId="0" applyNumberFormat="1" applyFont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1" fontId="3" fillId="0" borderId="20" xfId="0" applyNumberFormat="1" applyFont="1" applyBorder="1" applyAlignment="1">
      <alignment horizontal="center"/>
    </xf>
    <xf numFmtId="0" fontId="8" fillId="0" borderId="0" xfId="0" applyFont="1" applyAlignment="1">
      <alignment horizontal="right"/>
    </xf>
    <xf numFmtId="2" fontId="3" fillId="0" borderId="19" xfId="0" applyNumberFormat="1" applyFont="1" applyBorder="1"/>
    <xf numFmtId="0" fontId="0" fillId="0" borderId="20" xfId="0" applyBorder="1"/>
    <xf numFmtId="0" fontId="1" fillId="0" borderId="20" xfId="0" applyFont="1" applyBorder="1" applyAlignment="1">
      <alignment horizontal="center"/>
    </xf>
    <xf numFmtId="0" fontId="0" fillId="0" borderId="21" xfId="0" applyBorder="1"/>
    <xf numFmtId="0" fontId="1" fillId="3" borderId="21" xfId="0" applyFont="1" applyFill="1" applyBorder="1" applyAlignment="1">
      <alignment horizontal="right"/>
    </xf>
    <xf numFmtId="0" fontId="0" fillId="3" borderId="21" xfId="0" applyFill="1" applyBorder="1" applyAlignment="1">
      <alignment horizontal="center"/>
    </xf>
    <xf numFmtId="0" fontId="0" fillId="3" borderId="21" xfId="0" applyFill="1" applyBorder="1"/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1" fillId="0" borderId="0" xfId="0" applyFont="1" applyAlignment="1">
      <alignment vertical="center"/>
    </xf>
    <xf numFmtId="1" fontId="3" fillId="0" borderId="0" xfId="0" applyNumberFormat="1" applyFont="1"/>
    <xf numFmtId="1" fontId="0" fillId="0" borderId="0" xfId="0" applyNumberFormat="1"/>
    <xf numFmtId="1" fontId="3" fillId="0" borderId="20" xfId="0" applyNumberFormat="1" applyFont="1" applyBorder="1"/>
    <xf numFmtId="169" fontId="0" fillId="2" borderId="27" xfId="0" applyNumberFormat="1" applyFont="1" applyFill="1" applyBorder="1" applyAlignment="1" applyProtection="1">
      <alignment horizontal="center" vertical="center" shrinkToFit="1"/>
    </xf>
    <xf numFmtId="2" fontId="0" fillId="2" borderId="27" xfId="0" applyNumberFormat="1" applyFont="1" applyFill="1" applyBorder="1" applyAlignment="1" applyProtection="1">
      <alignment horizontal="center" vertical="center" shrinkToFit="1"/>
    </xf>
    <xf numFmtId="169" fontId="0" fillId="2" borderId="7" xfId="0" applyNumberFormat="1" applyFont="1" applyFill="1" applyBorder="1" applyAlignment="1" applyProtection="1">
      <alignment horizontal="center" vertical="center" shrinkToFit="1"/>
    </xf>
    <xf numFmtId="2" fontId="0" fillId="2" borderId="7" xfId="0" applyNumberFormat="1" applyFont="1" applyFill="1" applyBorder="1" applyAlignment="1" applyProtection="1">
      <alignment horizontal="center" vertical="center" shrinkToFit="1"/>
    </xf>
    <xf numFmtId="169" fontId="12" fillId="2" borderId="28" xfId="0" applyNumberFormat="1" applyFont="1" applyFill="1" applyBorder="1" applyAlignment="1" applyProtection="1">
      <alignment horizontal="center" vertical="center" shrinkToFit="1"/>
    </xf>
    <xf numFmtId="2" fontId="12" fillId="2" borderId="29" xfId="0" applyNumberFormat="1" applyFont="1" applyFill="1" applyBorder="1" applyAlignment="1" applyProtection="1">
      <alignment horizontal="center" vertical="center" shrinkToFit="1"/>
    </xf>
    <xf numFmtId="0" fontId="12" fillId="2" borderId="30" xfId="0" applyFont="1" applyFill="1" applyBorder="1" applyAlignment="1" applyProtection="1">
      <alignment horizontal="center" vertical="center" shrinkToFit="1"/>
    </xf>
    <xf numFmtId="0" fontId="12" fillId="0" borderId="10" xfId="0" applyFont="1" applyBorder="1" applyAlignment="1" applyProtection="1">
      <alignment horizontal="center" vertical="center" shrinkToFit="1"/>
    </xf>
    <xf numFmtId="0" fontId="12" fillId="0" borderId="11" xfId="0" applyFont="1" applyBorder="1" applyAlignment="1" applyProtection="1">
      <alignment horizontal="center" vertical="center" shrinkToFit="1"/>
    </xf>
    <xf numFmtId="0" fontId="12" fillId="0" borderId="26" xfId="0" applyFont="1" applyBorder="1" applyAlignment="1" applyProtection="1">
      <alignment horizontal="center" vertical="center" shrinkToFit="1"/>
    </xf>
    <xf numFmtId="2" fontId="12" fillId="0" borderId="31" xfId="0" applyNumberFormat="1" applyFont="1" applyBorder="1" applyAlignment="1" applyProtection="1">
      <alignment horizontal="center" vertical="center" shrinkToFit="1"/>
    </xf>
    <xf numFmtId="169" fontId="12" fillId="2" borderId="8" xfId="0" applyNumberFormat="1" applyFont="1" applyFill="1" applyBorder="1" applyAlignment="1" applyProtection="1">
      <alignment horizontal="center" vertical="center" shrinkToFit="1"/>
    </xf>
    <xf numFmtId="2" fontId="12" fillId="2" borderId="9" xfId="0" applyNumberFormat="1" applyFont="1" applyFill="1" applyBorder="1" applyAlignment="1" applyProtection="1">
      <alignment horizontal="center" vertical="center" shrinkToFit="1"/>
    </xf>
    <xf numFmtId="0" fontId="12" fillId="2" borderId="34" xfId="0" applyFont="1" applyFill="1" applyBorder="1" applyAlignment="1" applyProtection="1">
      <alignment horizontal="center" vertical="center" shrinkToFit="1"/>
    </xf>
    <xf numFmtId="0" fontId="12" fillId="0" borderId="35" xfId="0" applyFont="1" applyBorder="1" applyAlignment="1" applyProtection="1">
      <alignment horizontal="center" vertical="center" shrinkToFit="1"/>
    </xf>
    <xf numFmtId="0" fontId="12" fillId="0" borderId="36" xfId="0" applyFont="1" applyBorder="1" applyAlignment="1" applyProtection="1">
      <alignment horizontal="center" vertical="center" shrinkToFit="1"/>
    </xf>
    <xf numFmtId="0" fontId="12" fillId="0" borderId="6" xfId="0" applyFont="1" applyBorder="1" applyAlignment="1" applyProtection="1">
      <alignment horizontal="center" vertical="center" shrinkToFit="1"/>
    </xf>
    <xf numFmtId="2" fontId="12" fillId="0" borderId="12" xfId="0" applyNumberFormat="1" applyFont="1" applyBorder="1" applyAlignment="1" applyProtection="1">
      <alignment horizontal="center" vertical="center" shrinkToFit="1"/>
    </xf>
    <xf numFmtId="0" fontId="0" fillId="0" borderId="0" xfId="0" applyFont="1" applyProtection="1"/>
    <xf numFmtId="2" fontId="0" fillId="0" borderId="0" xfId="0" applyNumberFormat="1" applyFont="1" applyAlignment="1" applyProtection="1">
      <alignment horizontal="right"/>
    </xf>
    <xf numFmtId="0" fontId="0" fillId="0" borderId="3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0" fontId="15" fillId="0" borderId="3" xfId="0" applyFont="1" applyBorder="1" applyAlignment="1" applyProtection="1">
      <alignment horizontal="center" textRotation="90" wrapText="1"/>
    </xf>
    <xf numFmtId="0" fontId="15" fillId="0" borderId="5" xfId="0" applyFont="1" applyBorder="1" applyAlignment="1" applyProtection="1">
      <alignment horizontal="center" textRotation="90" wrapText="1"/>
    </xf>
    <xf numFmtId="14" fontId="0" fillId="0" borderId="0" xfId="0" applyNumberFormat="1" applyFont="1" applyProtection="1"/>
    <xf numFmtId="0" fontId="0" fillId="0" borderId="0" xfId="0" applyFont="1" applyAlignment="1" applyProtection="1">
      <alignment horizontal="center" vertical="center"/>
    </xf>
    <xf numFmtId="2" fontId="0" fillId="0" borderId="0" xfId="0" applyNumberFormat="1" applyFont="1" applyBorder="1" applyAlignment="1" applyProtection="1">
      <alignment horizontal="center" vertical="center"/>
    </xf>
    <xf numFmtId="165" fontId="0" fillId="0" borderId="0" xfId="0" applyNumberFormat="1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 wrapText="1"/>
    </xf>
    <xf numFmtId="46" fontId="0" fillId="0" borderId="0" xfId="0" applyNumberFormat="1" applyFont="1" applyProtection="1"/>
    <xf numFmtId="4" fontId="0" fillId="0" borderId="0" xfId="0" applyNumberFormat="1" applyFont="1" applyProtection="1"/>
    <xf numFmtId="0" fontId="0" fillId="0" borderId="0" xfId="0" applyFont="1" applyAlignment="1" applyProtection="1">
      <alignment vertical="center"/>
    </xf>
    <xf numFmtId="0" fontId="0" fillId="0" borderId="0" xfId="0" applyFont="1" applyAlignment="1" applyProtection="1"/>
    <xf numFmtId="2" fontId="0" fillId="0" borderId="0" xfId="0" applyNumberFormat="1" applyFont="1" applyProtection="1"/>
    <xf numFmtId="0" fontId="0" fillId="0" borderId="0" xfId="0" applyAlignment="1">
      <alignment horizontal="right"/>
    </xf>
    <xf numFmtId="170" fontId="0" fillId="0" borderId="0" xfId="0" applyNumberFormat="1"/>
    <xf numFmtId="2" fontId="0" fillId="3" borderId="21" xfId="0" applyNumberFormat="1" applyFill="1" applyBorder="1" applyAlignment="1">
      <alignment horizontal="center"/>
    </xf>
    <xf numFmtId="171" fontId="0" fillId="0" borderId="0" xfId="0" applyNumberFormat="1"/>
    <xf numFmtId="44" fontId="0" fillId="0" borderId="0" xfId="0" applyNumberFormat="1"/>
    <xf numFmtId="0" fontId="1" fillId="0" borderId="21" xfId="0" applyFont="1" applyFill="1" applyBorder="1" applyAlignment="1">
      <alignment horizontal="right"/>
    </xf>
    <xf numFmtId="0" fontId="0" fillId="0" borderId="20" xfId="0" applyBorder="1" applyAlignment="1">
      <alignment horizontal="right"/>
    </xf>
    <xf numFmtId="44" fontId="1" fillId="0" borderId="0" xfId="0" applyNumberFormat="1" applyFont="1"/>
    <xf numFmtId="0" fontId="1" fillId="0" borderId="37" xfId="0" applyFont="1" applyBorder="1" applyAlignment="1"/>
    <xf numFmtId="0" fontId="0" fillId="0" borderId="21" xfId="0" applyFill="1" applyBorder="1" applyAlignment="1">
      <alignment horizontal="center"/>
    </xf>
    <xf numFmtId="2" fontId="0" fillId="0" borderId="21" xfId="0" applyNumberForma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44" fontId="0" fillId="3" borderId="20" xfId="0" applyNumberFormat="1" applyFill="1" applyBorder="1"/>
    <xf numFmtId="44" fontId="0" fillId="0" borderId="21" xfId="0" applyNumberFormat="1" applyBorder="1"/>
    <xf numFmtId="44" fontId="0" fillId="3" borderId="21" xfId="0" applyNumberFormat="1" applyFill="1" applyBorder="1"/>
    <xf numFmtId="0" fontId="8" fillId="0" borderId="0" xfId="0" applyFont="1" applyAlignment="1">
      <alignment horizontal="center"/>
    </xf>
    <xf numFmtId="2" fontId="0" fillId="3" borderId="23" xfId="0" applyNumberFormat="1" applyFill="1" applyBorder="1" applyAlignment="1">
      <alignment horizontal="center"/>
    </xf>
    <xf numFmtId="2" fontId="0" fillId="0" borderId="23" xfId="0" applyNumberForma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20" fontId="0" fillId="4" borderId="0" xfId="0" applyNumberFormat="1" applyFill="1"/>
    <xf numFmtId="20" fontId="0" fillId="4" borderId="0" xfId="0" applyNumberForma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 applyAlignment="1">
      <alignment vertical="center"/>
    </xf>
    <xf numFmtId="14" fontId="0" fillId="4" borderId="0" xfId="0" applyNumberFormat="1" applyFill="1"/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166" fontId="3" fillId="4" borderId="0" xfId="0" applyNumberFormat="1" applyFont="1" applyFill="1"/>
    <xf numFmtId="164" fontId="0" fillId="4" borderId="0" xfId="0" applyNumberFormat="1" applyFill="1"/>
    <xf numFmtId="2" fontId="0" fillId="4" borderId="0" xfId="0" applyNumberFormat="1" applyFill="1"/>
    <xf numFmtId="170" fontId="3" fillId="4" borderId="0" xfId="0" applyNumberFormat="1" applyFont="1" applyFill="1" applyAlignment="1">
      <alignment horizontal="center"/>
    </xf>
    <xf numFmtId="170" fontId="3" fillId="4" borderId="20" xfId="0" applyNumberFormat="1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20" fontId="0" fillId="5" borderId="0" xfId="0" applyNumberFormat="1" applyFill="1"/>
    <xf numFmtId="20" fontId="0" fillId="5" borderId="0" xfId="0" applyNumberFormat="1" applyFill="1" applyAlignment="1">
      <alignment horizontal="right"/>
    </xf>
    <xf numFmtId="0" fontId="0" fillId="5" borderId="0" xfId="0" applyFill="1" applyAlignment="1">
      <alignment horizontal="right"/>
    </xf>
    <xf numFmtId="2" fontId="0" fillId="0" borderId="0" xfId="0" applyNumberFormat="1" applyFill="1"/>
    <xf numFmtId="0" fontId="0" fillId="0" borderId="0" xfId="0" applyAlignment="1">
      <alignment horizontal="right"/>
    </xf>
    <xf numFmtId="0" fontId="6" fillId="0" borderId="2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2" fontId="3" fillId="0" borderId="20" xfId="0" applyNumberFormat="1" applyFont="1" applyBorder="1" applyAlignment="1">
      <alignment horizontal="center" vertical="center" shrinkToFit="1"/>
    </xf>
    <xf numFmtId="2" fontId="3" fillId="0" borderId="0" xfId="0" applyNumberFormat="1" applyFont="1" applyBorder="1" applyAlignment="1">
      <alignment horizontal="center" vertical="center" shrinkToFit="1"/>
    </xf>
    <xf numFmtId="44" fontId="0" fillId="0" borderId="0" xfId="0" applyNumberForma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5" fillId="0" borderId="4" xfId="0" applyFont="1" applyBorder="1" applyAlignment="1" applyProtection="1">
      <alignment horizontal="center" textRotation="90" wrapText="1"/>
    </xf>
    <xf numFmtId="0" fontId="0" fillId="2" borderId="26" xfId="0" applyFont="1" applyFill="1" applyBorder="1" applyAlignment="1" applyProtection="1">
      <alignment horizontal="center" vertical="center"/>
    </xf>
    <xf numFmtId="2" fontId="12" fillId="0" borderId="28" xfId="0" applyNumberFormat="1" applyFont="1" applyBorder="1" applyAlignment="1" applyProtection="1">
      <alignment horizontal="center" vertical="center" shrinkToFit="1"/>
    </xf>
    <xf numFmtId="0" fontId="0" fillId="2" borderId="6" xfId="0" applyFont="1" applyFill="1" applyBorder="1" applyAlignment="1" applyProtection="1">
      <alignment horizontal="center" vertical="center"/>
    </xf>
    <xf numFmtId="2" fontId="12" fillId="0" borderId="8" xfId="0" applyNumberFormat="1" applyFont="1" applyBorder="1" applyAlignment="1" applyProtection="1">
      <alignment horizontal="center" vertical="center" shrinkToFit="1"/>
    </xf>
    <xf numFmtId="0" fontId="0" fillId="2" borderId="41" xfId="0" applyFont="1" applyFill="1" applyBorder="1" applyAlignment="1" applyProtection="1">
      <alignment horizontal="center" vertical="center"/>
    </xf>
    <xf numFmtId="169" fontId="0" fillId="2" borderId="42" xfId="0" applyNumberFormat="1" applyFont="1" applyFill="1" applyBorder="1" applyAlignment="1" applyProtection="1">
      <alignment horizontal="center" vertical="center" shrinkToFit="1"/>
    </xf>
    <xf numFmtId="169" fontId="12" fillId="2" borderId="43" xfId="0" applyNumberFormat="1" applyFont="1" applyFill="1" applyBorder="1" applyAlignment="1" applyProtection="1">
      <alignment horizontal="center" vertical="center" shrinkToFit="1"/>
    </xf>
    <xf numFmtId="2" fontId="0" fillId="2" borderId="42" xfId="0" applyNumberFormat="1" applyFont="1" applyFill="1" applyBorder="1" applyAlignment="1" applyProtection="1">
      <alignment horizontal="center" vertical="center" shrinkToFit="1"/>
    </xf>
    <xf numFmtId="2" fontId="12" fillId="2" borderId="44" xfId="0" applyNumberFormat="1" applyFont="1" applyFill="1" applyBorder="1" applyAlignment="1" applyProtection="1">
      <alignment horizontal="center" vertical="center" shrinkToFit="1"/>
    </xf>
    <xf numFmtId="0" fontId="12" fillId="2" borderId="45" xfId="0" applyFont="1" applyFill="1" applyBorder="1" applyAlignment="1" applyProtection="1">
      <alignment horizontal="center" vertical="center" shrinkToFit="1"/>
    </xf>
    <xf numFmtId="0" fontId="12" fillId="0" borderId="46" xfId="0" applyFont="1" applyBorder="1" applyAlignment="1" applyProtection="1">
      <alignment horizontal="center" vertical="center" shrinkToFit="1"/>
    </xf>
    <xf numFmtId="0" fontId="12" fillId="0" borderId="47" xfId="0" applyFont="1" applyBorder="1" applyAlignment="1" applyProtection="1">
      <alignment horizontal="center" vertical="center" shrinkToFit="1"/>
    </xf>
    <xf numFmtId="0" fontId="12" fillId="0" borderId="41" xfId="0" applyFont="1" applyBorder="1" applyAlignment="1" applyProtection="1">
      <alignment horizontal="center" vertical="center" shrinkToFit="1"/>
    </xf>
    <xf numFmtId="2" fontId="12" fillId="0" borderId="48" xfId="0" applyNumberFormat="1" applyFont="1" applyBorder="1" applyAlignment="1" applyProtection="1">
      <alignment horizontal="center" vertical="center" shrinkToFit="1"/>
    </xf>
    <xf numFmtId="2" fontId="12" fillId="0" borderId="43" xfId="0" applyNumberFormat="1" applyFont="1" applyBorder="1" applyAlignment="1" applyProtection="1">
      <alignment horizontal="center" vertical="center" shrinkToFit="1"/>
    </xf>
    <xf numFmtId="2" fontId="0" fillId="0" borderId="51" xfId="0" applyNumberFormat="1" applyFont="1" applyBorder="1" applyAlignment="1" applyProtection="1">
      <alignment horizontal="center" vertical="center"/>
    </xf>
    <xf numFmtId="0" fontId="0" fillId="0" borderId="52" xfId="0" applyFont="1" applyBorder="1" applyAlignment="1" applyProtection="1">
      <alignment horizontal="center" vertical="center"/>
    </xf>
    <xf numFmtId="0" fontId="0" fillId="0" borderId="53" xfId="0" applyFont="1" applyBorder="1" applyAlignment="1" applyProtection="1">
      <alignment horizontal="center" vertical="center"/>
    </xf>
    <xf numFmtId="0" fontId="0" fillId="0" borderId="54" xfId="0" applyFont="1" applyBorder="1" applyAlignment="1" applyProtection="1">
      <alignment horizontal="center" vertical="center"/>
    </xf>
    <xf numFmtId="0" fontId="0" fillId="0" borderId="38" xfId="0" applyFont="1" applyBorder="1" applyAlignment="1" applyProtection="1">
      <alignment horizontal="center" vertical="center"/>
    </xf>
    <xf numFmtId="2" fontId="0" fillId="0" borderId="55" xfId="0" applyNumberFormat="1" applyFont="1" applyBorder="1" applyAlignment="1" applyProtection="1">
      <alignment horizontal="center" vertical="center"/>
    </xf>
    <xf numFmtId="2" fontId="0" fillId="0" borderId="56" xfId="0" applyNumberFormat="1" applyFont="1" applyBorder="1" applyAlignment="1" applyProtection="1">
      <alignment horizontal="center" vertical="center"/>
    </xf>
    <xf numFmtId="0" fontId="0" fillId="0" borderId="57" xfId="0" applyFont="1" applyBorder="1" applyAlignment="1" applyProtection="1">
      <alignment horizontal="center" vertical="center" wrapText="1"/>
    </xf>
    <xf numFmtId="0" fontId="0" fillId="0" borderId="42" xfId="0" applyFont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2" fontId="3" fillId="4" borderId="0" xfId="0" applyNumberFormat="1" applyFont="1" applyFill="1" applyBorder="1" applyAlignment="1">
      <alignment horizontal="center" vertical="center" shrinkToFit="1"/>
    </xf>
    <xf numFmtId="2" fontId="3" fillId="4" borderId="20" xfId="0" applyNumberFormat="1" applyFont="1" applyFill="1" applyBorder="1" applyAlignment="1">
      <alignment horizontal="center" vertical="center" shrinkToFit="1"/>
    </xf>
    <xf numFmtId="44" fontId="0" fillId="4" borderId="20" xfId="0" applyNumberFormat="1" applyFill="1" applyBorder="1"/>
    <xf numFmtId="44" fontId="0" fillId="0" borderId="0" xfId="0" applyNumberFormat="1" applyFill="1"/>
    <xf numFmtId="0" fontId="9" fillId="0" borderId="0" xfId="0" applyFont="1" applyBorder="1" applyAlignment="1">
      <alignment horizontal="center" wrapText="1"/>
    </xf>
    <xf numFmtId="0" fontId="12" fillId="2" borderId="59" xfId="0" applyFont="1" applyFill="1" applyBorder="1" applyAlignment="1" applyProtection="1">
      <alignment horizontal="center" vertical="center" shrinkToFit="1"/>
    </xf>
    <xf numFmtId="0" fontId="12" fillId="2" borderId="17" xfId="0" applyFont="1" applyFill="1" applyBorder="1" applyAlignment="1" applyProtection="1">
      <alignment horizontal="center" vertical="center" shrinkToFit="1"/>
    </xf>
    <xf numFmtId="0" fontId="12" fillId="2" borderId="18" xfId="0" applyFont="1" applyFill="1" applyBorder="1" applyAlignment="1" applyProtection="1">
      <alignment horizontal="center" vertical="center" shrinkToFit="1"/>
    </xf>
    <xf numFmtId="0" fontId="12" fillId="2" borderId="62" xfId="0" applyFont="1" applyFill="1" applyBorder="1" applyAlignment="1" applyProtection="1">
      <alignment horizontal="center" vertical="center" shrinkToFit="1"/>
    </xf>
    <xf numFmtId="0" fontId="12" fillId="2" borderId="63" xfId="0" applyFont="1" applyFill="1" applyBorder="1" applyAlignment="1" applyProtection="1">
      <alignment horizontal="center" vertical="center" shrinkToFit="1"/>
    </xf>
    <xf numFmtId="0" fontId="12" fillId="2" borderId="64" xfId="0" applyFont="1" applyFill="1" applyBorder="1" applyAlignment="1" applyProtection="1">
      <alignment horizontal="center" vertical="center" shrinkToFit="1"/>
    </xf>
    <xf numFmtId="0" fontId="14" fillId="0" borderId="65" xfId="0" applyFont="1" applyBorder="1" applyAlignment="1" applyProtection="1">
      <alignment horizontal="center" vertical="center"/>
    </xf>
    <xf numFmtId="0" fontId="14" fillId="0" borderId="66" xfId="0" applyFont="1" applyBorder="1" applyAlignment="1" applyProtection="1">
      <alignment horizontal="center" vertical="center"/>
    </xf>
    <xf numFmtId="0" fontId="14" fillId="0" borderId="67" xfId="0" applyFont="1" applyBorder="1" applyAlignment="1" applyProtection="1">
      <alignment horizontal="center" vertical="center"/>
    </xf>
    <xf numFmtId="0" fontId="14" fillId="0" borderId="68" xfId="0" applyFont="1" applyBorder="1" applyAlignment="1" applyProtection="1">
      <alignment horizontal="center" vertical="center"/>
    </xf>
    <xf numFmtId="0" fontId="14" fillId="0" borderId="69" xfId="0" applyFont="1" applyBorder="1" applyAlignment="1" applyProtection="1">
      <alignment horizontal="center" vertical="center"/>
    </xf>
    <xf numFmtId="0" fontId="14" fillId="0" borderId="70" xfId="0" applyFont="1" applyBorder="1" applyAlignment="1" applyProtection="1">
      <alignment horizontal="center" vertical="center"/>
    </xf>
    <xf numFmtId="0" fontId="12" fillId="2" borderId="71" xfId="0" applyFont="1" applyFill="1" applyBorder="1" applyAlignment="1" applyProtection="1">
      <alignment horizontal="center" vertical="center" shrinkToFit="1"/>
    </xf>
    <xf numFmtId="0" fontId="12" fillId="2" borderId="72" xfId="0" applyFont="1" applyFill="1" applyBorder="1" applyAlignment="1" applyProtection="1">
      <alignment horizontal="center" vertical="center" shrinkToFit="1"/>
    </xf>
    <xf numFmtId="0" fontId="12" fillId="2" borderId="61" xfId="0" applyFont="1" applyFill="1" applyBorder="1" applyAlignment="1" applyProtection="1">
      <alignment horizontal="center" vertical="center" shrinkToFit="1"/>
    </xf>
    <xf numFmtId="0" fontId="5" fillId="0" borderId="0" xfId="0" applyFont="1" applyAlignment="1" applyProtection="1">
      <alignment horizontal="left" vertical="top" wrapText="1"/>
    </xf>
    <xf numFmtId="0" fontId="0" fillId="0" borderId="0" xfId="0" applyFont="1" applyAlignment="1" applyProtection="1">
      <alignment horizontal="left" vertical="top"/>
    </xf>
    <xf numFmtId="0" fontId="14" fillId="0" borderId="39" xfId="0" applyFont="1" applyBorder="1" applyAlignment="1" applyProtection="1">
      <alignment horizontal="center" vertical="center"/>
    </xf>
    <xf numFmtId="0" fontId="14" fillId="0" borderId="40" xfId="0" applyFont="1" applyBorder="1" applyAlignment="1" applyProtection="1">
      <alignment horizontal="center" vertical="center"/>
    </xf>
    <xf numFmtId="0" fontId="14" fillId="0" borderId="39" xfId="0" applyFont="1" applyBorder="1" applyAlignment="1" applyProtection="1">
      <alignment horizontal="center" vertical="center" wrapText="1"/>
    </xf>
    <xf numFmtId="0" fontId="14" fillId="0" borderId="32" xfId="0" applyFont="1" applyBorder="1" applyAlignment="1" applyProtection="1">
      <alignment horizontal="center" vertical="center" wrapText="1"/>
    </xf>
    <xf numFmtId="0" fontId="14" fillId="0" borderId="32" xfId="0" applyFont="1" applyBorder="1" applyAlignment="1" applyProtection="1">
      <alignment horizontal="center" vertical="center"/>
    </xf>
    <xf numFmtId="0" fontId="0" fillId="0" borderId="49" xfId="0" applyFont="1" applyBorder="1" applyAlignment="1" applyProtection="1">
      <alignment horizontal="center" vertical="center"/>
    </xf>
    <xf numFmtId="0" fontId="0" fillId="0" borderId="50" xfId="0" applyFont="1" applyBorder="1" applyAlignment="1" applyProtection="1">
      <alignment horizontal="center" vertical="center"/>
    </xf>
    <xf numFmtId="0" fontId="15" fillId="0" borderId="2" xfId="0" applyFont="1" applyBorder="1" applyAlignment="1" applyProtection="1">
      <alignment horizontal="center" textRotation="90" wrapText="1"/>
    </xf>
    <xf numFmtId="0" fontId="14" fillId="0" borderId="0" xfId="0" applyFont="1" applyBorder="1" applyAlignment="1" applyProtection="1">
      <alignment horizontal="center" vertical="center" wrapText="1"/>
    </xf>
    <xf numFmtId="0" fontId="14" fillId="0" borderId="57" xfId="0" applyFont="1" applyBorder="1" applyAlignment="1" applyProtection="1">
      <alignment horizontal="right" vertical="center" wrapText="1"/>
    </xf>
    <xf numFmtId="2" fontId="0" fillId="0" borderId="58" xfId="0" applyNumberFormat="1" applyFont="1" applyBorder="1" applyAlignment="1" applyProtection="1">
      <alignment horizontal="center" vertical="center"/>
    </xf>
    <xf numFmtId="0" fontId="0" fillId="0" borderId="58" xfId="0" applyFont="1" applyBorder="1" applyAlignment="1" applyProtection="1">
      <alignment horizontal="center" vertical="center" wrapText="1"/>
    </xf>
    <xf numFmtId="0" fontId="14" fillId="0" borderId="59" xfId="0" applyFont="1" applyBorder="1" applyAlignment="1" applyProtection="1">
      <alignment horizontal="right" vertical="center" wrapText="1"/>
    </xf>
    <xf numFmtId="0" fontId="14" fillId="0" borderId="17" xfId="0" applyFont="1" applyBorder="1" applyAlignment="1" applyProtection="1">
      <alignment horizontal="right" vertical="center" wrapText="1"/>
    </xf>
    <xf numFmtId="0" fontId="14" fillId="0" borderId="13" xfId="0" applyFont="1" applyBorder="1" applyAlignment="1" applyProtection="1">
      <alignment horizontal="right" vertical="center" wrapText="1"/>
    </xf>
    <xf numFmtId="0" fontId="0" fillId="0" borderId="16" xfId="0" applyNumberFormat="1" applyFont="1" applyBorder="1" applyAlignment="1" applyProtection="1">
      <alignment horizontal="center" vertical="center"/>
    </xf>
    <xf numFmtId="0" fontId="0" fillId="0" borderId="18" xfId="0" applyNumberFormat="1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14" fillId="0" borderId="42" xfId="0" applyFont="1" applyBorder="1" applyAlignment="1" applyProtection="1">
      <alignment horizontal="right" vertical="center"/>
    </xf>
    <xf numFmtId="0" fontId="13" fillId="0" borderId="1" xfId="0" applyFont="1" applyBorder="1" applyAlignment="1" applyProtection="1">
      <alignment wrapText="1"/>
    </xf>
    <xf numFmtId="0" fontId="13" fillId="0" borderId="1" xfId="0" applyFont="1" applyBorder="1" applyProtection="1"/>
    <xf numFmtId="0" fontId="14" fillId="0" borderId="33" xfId="0" applyFont="1" applyBorder="1" applyAlignment="1" applyProtection="1">
      <alignment horizontal="center" vertical="center" wrapText="1"/>
    </xf>
    <xf numFmtId="0" fontId="14" fillId="0" borderId="33" xfId="0" applyFont="1" applyBorder="1" applyAlignment="1" applyProtection="1">
      <alignment horizontal="center" vertical="center"/>
    </xf>
    <xf numFmtId="2" fontId="14" fillId="0" borderId="2" xfId="0" applyNumberFormat="1" applyFont="1" applyBorder="1" applyAlignment="1" applyProtection="1">
      <alignment horizontal="center" vertical="center" wrapText="1"/>
    </xf>
    <xf numFmtId="2" fontId="0" fillId="0" borderId="60" xfId="0" applyNumberFormat="1" applyFont="1" applyBorder="1" applyAlignment="1" applyProtection="1">
      <alignment horizontal="center" vertical="center"/>
    </xf>
    <xf numFmtId="2" fontId="0" fillId="0" borderId="61" xfId="0" applyNumberFormat="1" applyFont="1" applyBorder="1" applyAlignment="1" applyProtection="1">
      <alignment horizontal="center" vertical="center"/>
    </xf>
    <xf numFmtId="0" fontId="0" fillId="0" borderId="43" xfId="0" applyFont="1" applyBorder="1" applyAlignment="1" applyProtection="1">
      <alignment horizontal="center" vertical="center" wrapText="1"/>
    </xf>
    <xf numFmtId="0" fontId="14" fillId="0" borderId="59" xfId="0" applyFont="1" applyBorder="1" applyAlignment="1" applyProtection="1">
      <alignment horizontal="right" vertical="center"/>
    </xf>
    <xf numFmtId="0" fontId="14" fillId="0" borderId="17" xfId="0" applyFont="1" applyBorder="1" applyAlignment="1" applyProtection="1">
      <alignment horizontal="right" vertical="center"/>
    </xf>
    <xf numFmtId="0" fontId="14" fillId="0" borderId="13" xfId="0" applyFont="1" applyBorder="1" applyAlignment="1" applyProtection="1">
      <alignment horizontal="right" vertical="center"/>
    </xf>
    <xf numFmtId="2" fontId="0" fillId="0" borderId="16" xfId="0" applyNumberFormat="1" applyFont="1" applyBorder="1" applyAlignment="1" applyProtection="1">
      <alignment horizontal="center" vertical="center"/>
    </xf>
    <xf numFmtId="2" fontId="0" fillId="0" borderId="18" xfId="0" applyNumberFormat="1" applyFont="1" applyBorder="1" applyAlignment="1" applyProtection="1">
      <alignment horizontal="center" vertical="center"/>
    </xf>
    <xf numFmtId="14" fontId="0" fillId="0" borderId="16" xfId="0" applyNumberFormat="1" applyFont="1" applyBorder="1" applyAlignment="1" applyProtection="1">
      <alignment horizontal="center" vertical="center" wrapText="1"/>
    </xf>
    <xf numFmtId="14" fontId="0" fillId="0" borderId="17" xfId="0" applyNumberFormat="1" applyFont="1" applyBorder="1" applyAlignment="1" applyProtection="1">
      <alignment horizontal="center" vertical="center" wrapText="1"/>
    </xf>
    <xf numFmtId="14" fontId="0" fillId="0" borderId="18" xfId="0" applyNumberFormat="1" applyFont="1" applyBorder="1" applyAlignment="1" applyProtection="1">
      <alignment horizontal="center" vertical="center" wrapText="1"/>
    </xf>
    <xf numFmtId="0" fontId="14" fillId="0" borderId="15" xfId="0" applyFont="1" applyBorder="1" applyAlignment="1" applyProtection="1">
      <alignment horizontal="right" vertical="center"/>
    </xf>
    <xf numFmtId="0" fontId="0" fillId="0" borderId="14" xfId="0" applyFont="1" applyBorder="1" applyAlignment="1" applyProtection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2" fontId="9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" fillId="0" borderId="37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60"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  <dxf>
      <fill>
        <patternFill>
          <bgColor rgb="FF21C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37</xdr:row>
      <xdr:rowOff>0</xdr:rowOff>
    </xdr:from>
    <xdr:to>
      <xdr:col>17</xdr:col>
      <xdr:colOff>371475</xdr:colOff>
      <xdr:row>42</xdr:row>
      <xdr:rowOff>180975</xdr:rowOff>
    </xdr:to>
    <xdr:sp macro="" textlink="" fLocksText="0">
      <xdr:nvSpPr>
        <xdr:cNvPr id="2" name="Text Box 1">
          <a:extLst>
            <a:ext uri="{FF2B5EF4-FFF2-40B4-BE49-F238E27FC236}">
              <a16:creationId xmlns:a16="http://schemas.microsoft.com/office/drawing/2014/main" id="{3F2CB8B7-7F2E-42E4-B9C0-E4DEDB8C3A0E}"/>
            </a:ext>
          </a:extLst>
        </xdr:cNvPr>
        <xdr:cNvSpPr txBox="1">
          <a:spLocks noChangeArrowheads="1"/>
        </xdr:cNvSpPr>
      </xdr:nvSpPr>
      <xdr:spPr bwMode="auto">
        <a:xfrm>
          <a:off x="5362575" y="10306050"/>
          <a:ext cx="1990725" cy="156210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27360" tIns="18000" rIns="0" bIns="0" anchor="t"/>
        <a:lstStyle/>
        <a:p>
          <a:pPr algn="l" rtl="0">
            <a:defRPr sz="1000"/>
          </a:pPr>
          <a:r>
            <a:rPr lang="de-AT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gesamte Arbeitsstunden = Anzahl der Stunden, an denen tatsächlich gearbeitet wurde (exkl. Krankenstand, Urlaub, Feiertag)</a:t>
          </a:r>
        </a:p>
        <a:p>
          <a:pPr algn="l" rtl="0">
            <a:defRPr sz="1000"/>
          </a:pPr>
          <a:endParaRPr lang="de-A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AT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Stunden Feiertag, wenn nicht gearbeitet = Anzahl Feiertage, an denen nicht gearbeitet * 6,67 (entspricht 6 Std. 40 Min.)</a:t>
          </a:r>
        </a:p>
        <a:p>
          <a:pPr algn="l" rtl="0">
            <a:defRPr sz="1000"/>
          </a:pPr>
          <a:endParaRPr lang="de-A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AT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Summe Stunden = gesamte Arbeitsstunden + Stunden Feiertag</a:t>
          </a:r>
        </a:p>
        <a:p>
          <a:pPr algn="l" rtl="0">
            <a:defRPr sz="1000"/>
          </a:pPr>
          <a:endParaRPr lang="de-A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AT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SFN  = 100 % für Feiertags- und Nachtarbeit</a:t>
          </a:r>
        </a:p>
        <a:p>
          <a:pPr algn="l" rtl="0">
            <a:defRPr sz="1000"/>
          </a:pPr>
          <a:endParaRPr lang="de-AT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9F9D-2221-4B03-AE95-4EA542F1D3DF}">
  <sheetPr>
    <pageSetUpPr fitToPage="1"/>
  </sheetPr>
  <dimension ref="A1:W43"/>
  <sheetViews>
    <sheetView showZeros="0" topLeftCell="C1" zoomScale="130" zoomScaleNormal="130" workbookViewId="0">
      <selection activeCell="F8" sqref="F8:H8"/>
    </sheetView>
  </sheetViews>
  <sheetFormatPr defaultColWidth="11.453125" defaultRowHeight="14.5"/>
  <cols>
    <col min="1" max="1" width="11.453125" style="66" hidden="1" customWidth="1"/>
    <col min="2" max="2" width="22.1796875" style="66" hidden="1" customWidth="1"/>
    <col min="3" max="3" width="5.54296875" style="66" customWidth="1"/>
    <col min="4" max="7" width="6.26953125" style="66" customWidth="1"/>
    <col min="8" max="8" width="20.7265625" style="73" customWidth="1"/>
    <col min="9" max="9" width="7.7265625" style="66" customWidth="1"/>
    <col min="10" max="10" width="6.26953125" style="66" bestFit="1" customWidth="1"/>
    <col min="11" max="11" width="11.7265625" style="81" customWidth="1"/>
    <col min="12" max="15" width="4.453125" style="66" customWidth="1"/>
    <col min="16" max="16" width="4.1796875" style="66" customWidth="1"/>
    <col min="17" max="18" width="7.7265625" style="66" customWidth="1"/>
    <col min="19" max="19" width="13.7265625" style="66" customWidth="1"/>
    <col min="20" max="16384" width="11.453125" style="66"/>
  </cols>
  <sheetData>
    <row r="1" spans="1:23" ht="19.5">
      <c r="E1" s="66" t="s">
        <v>38</v>
      </c>
      <c r="F1" s="199" t="str">
        <f>Datenblatt!B4</f>
        <v>Dummy Name</v>
      </c>
      <c r="G1" s="199"/>
      <c r="H1" s="199"/>
      <c r="I1" s="199"/>
      <c r="J1" s="199"/>
      <c r="K1" s="67" t="s">
        <v>39</v>
      </c>
      <c r="L1" s="200" t="s">
        <v>164</v>
      </c>
      <c r="M1" s="200"/>
      <c r="N1" s="200"/>
      <c r="O1" s="200"/>
      <c r="P1" s="66" t="s">
        <v>41</v>
      </c>
      <c r="Q1" s="200">
        <f>Datenblatt!B3</f>
        <v>2022</v>
      </c>
      <c r="R1" s="200"/>
    </row>
    <row r="3" spans="1:23" ht="15" thickBot="1">
      <c r="C3" s="178" t="s">
        <v>42</v>
      </c>
      <c r="D3" s="180" t="s">
        <v>43</v>
      </c>
      <c r="E3" s="180"/>
      <c r="F3" s="167" t="s">
        <v>44</v>
      </c>
      <c r="G3" s="168"/>
      <c r="H3" s="169"/>
      <c r="I3" s="181" t="s">
        <v>163</v>
      </c>
      <c r="J3" s="201" t="s">
        <v>11</v>
      </c>
      <c r="K3" s="203" t="s">
        <v>46</v>
      </c>
      <c r="L3" s="180" t="s">
        <v>47</v>
      </c>
      <c r="M3" s="180"/>
      <c r="N3" s="180"/>
      <c r="O3" s="180"/>
      <c r="P3" s="185" t="s">
        <v>48</v>
      </c>
      <c r="Q3" s="180" t="s">
        <v>49</v>
      </c>
      <c r="R3" s="180"/>
    </row>
    <row r="4" spans="1:23" ht="48.5" thickTop="1" thickBot="1">
      <c r="C4" s="179"/>
      <c r="D4" s="68" t="s">
        <v>196</v>
      </c>
      <c r="E4" s="69" t="s">
        <v>50</v>
      </c>
      <c r="F4" s="170"/>
      <c r="G4" s="171"/>
      <c r="H4" s="172"/>
      <c r="I4" s="182"/>
      <c r="J4" s="202"/>
      <c r="K4" s="203"/>
      <c r="L4" s="70" t="s">
        <v>32</v>
      </c>
      <c r="M4" s="71" t="s">
        <v>52</v>
      </c>
      <c r="N4" s="71" t="s">
        <v>53</v>
      </c>
      <c r="O4" s="71" t="s">
        <v>54</v>
      </c>
      <c r="P4" s="185"/>
      <c r="Q4" s="70" t="s">
        <v>55</v>
      </c>
      <c r="R4" s="129" t="s">
        <v>56</v>
      </c>
    </row>
    <row r="5" spans="1:23" ht="20" customHeight="1" thickTop="1">
      <c r="A5" s="66">
        <v>1</v>
      </c>
      <c r="B5" s="72">
        <f>IF(MONTH(VLOOKUP(DATE($Q$1,VLOOKUP($L$1,Daten!$P$2:$Q$13,2,FALSE),A5),Stundenaufzeichnung!$B:$AB,1,FALSE))=VLOOKUP($L$1,Daten!$P:$Q,2,FALSE),VLOOKUP(DATE($Q$1,VLOOKUP($L$1,Daten!$P$2:$Q$13,2,FALSE),A5),Stundenaufzeichnung!$B:$AB,1,FALSE),"")</f>
        <v>44562</v>
      </c>
      <c r="C5" s="130">
        <f>IFERROR(DAY(B5),"")</f>
        <v>1</v>
      </c>
      <c r="D5" s="48" t="str">
        <f>IFERROR(VLOOKUP(DATE($Q$1,VLOOKUP($L$1,Daten!$P$2:$Q$13,2,FALSE),C5),Stundenaufzeichnung!$B:$AB,19,FALSE),"")</f>
        <v/>
      </c>
      <c r="E5" s="52" t="str">
        <f>IFERROR(VLOOKUP(DATE($Q$1,VLOOKUP($L$1,Daten!$P$2:$Q$13,2,FALSE),C5),Stundenaufzeichnung!$B:$AB,20,FALSE),"")</f>
        <v/>
      </c>
      <c r="F5" s="164" t="str">
        <f>IFERROR(VLOOKUP(DATE($Q$1,VLOOKUP($L$1,Daten!$P$2:$Q$13,2,FALSE),C5),Stundenaufzeichnung!$B:$AD,28,FALSE),"")</f>
        <v>FT: Neujahr</v>
      </c>
      <c r="G5" s="165"/>
      <c r="H5" s="166"/>
      <c r="I5" s="49" t="str">
        <f>IF(NOT(E5 = ""),(E5-D5)*24,"")</f>
        <v/>
      </c>
      <c r="J5" s="52" t="str">
        <f>IFERROR(VLOOKUP(DATE($Q$1,VLOOKUP($L$1,Daten!$P$2:$Q$13,2,FALSE),C5),Stundenaufzeichnung!$B:$AB,23,FALSE),"")</f>
        <v/>
      </c>
      <c r="K5" s="53">
        <f>IFERROR(IF(F5="","",VLOOKUP(DATE($Q$1,VLOOKUP($L$1,Daten!$P$2:$Q$13,2,FALSE),C5),Stundenaufzeichnung!$B:$AD,29,FALSE)),"")</f>
        <v>6.67</v>
      </c>
      <c r="L5" s="54" t="str">
        <f>IFERROR(VLOOKUP(DATE($Q$1,VLOOKUP($L$1,Daten!$P$2:$Q$13,2,FALSE),C5),Stundenaufzeichnung!$B:$AB,25,FALSE),"")</f>
        <v/>
      </c>
      <c r="M5" s="55"/>
      <c r="N5" s="55"/>
      <c r="O5" s="56"/>
      <c r="P5" s="57"/>
      <c r="Q5" s="58"/>
      <c r="R5" s="131" t="str">
        <f>IFERROR(VLOOKUP(DATE($Q$1,VLOOKUP($L$1,Daten!$P$2:$Q$13,2,FALSE),C5),Stundenaufzeichnung!$B:$AD,27,FALSE),"")</f>
        <v/>
      </c>
    </row>
    <row r="6" spans="1:23" ht="20" customHeight="1">
      <c r="A6" s="66">
        <v>2</v>
      </c>
      <c r="B6" s="72">
        <f>IF(MONTH(VLOOKUP(DATE($Q$1,VLOOKUP($L$1,Daten!$P$2:$Q$13,2,FALSE),A6),Stundenaufzeichnung!$B:$AB,1,FALSE))=VLOOKUP($L$1,Daten!$P:$Q,2,FALSE),VLOOKUP(DATE($Q$1,VLOOKUP($L$1,Daten!$P$2:$Q$13,2,FALSE),A6),Stundenaufzeichnung!$B:$AB,1,FALSE),"")</f>
        <v>44563</v>
      </c>
      <c r="C6" s="132">
        <f t="shared" ref="C6:C35" si="0">IFERROR(DAY(B6),"")</f>
        <v>2</v>
      </c>
      <c r="D6" s="50" t="str">
        <f>IFERROR(VLOOKUP(DATE($Q$1,VLOOKUP($L$1,Daten!$P$2:$Q$13,2,FALSE),C6),Stundenaufzeichnung!$B:$AB,19,FALSE),"")</f>
        <v/>
      </c>
      <c r="E6" s="59" t="str">
        <f>IFERROR(VLOOKUP(DATE($Q$1,VLOOKUP($L$1,Daten!$P$2:$Q$13,2,FALSE),C6),Stundenaufzeichnung!$B:$AB,20,FALSE),"")</f>
        <v/>
      </c>
      <c r="F6" s="161" t="str">
        <f>IFERROR(VLOOKUP(DATE($Q$1,VLOOKUP($L$1,Daten!$P$2:$Q$13,2,FALSE),C6),Stundenaufzeichnung!$B:$AD,28,FALSE),"")</f>
        <v/>
      </c>
      <c r="G6" s="162"/>
      <c r="H6" s="163"/>
      <c r="I6" s="51" t="str">
        <f>IF(NOT(E6 = ""),(E6-D6)*24,"")</f>
        <v/>
      </c>
      <c r="J6" s="59" t="str">
        <f>IFERROR(VLOOKUP(DATE($Q$1,VLOOKUP($L$1,Daten!$P$2:$Q$13,2,FALSE),C6),Stundenaufzeichnung!$B:$AB,23,FALSE),"")</f>
        <v/>
      </c>
      <c r="K6" s="60" t="str">
        <f>IFERROR(IF(F6="","",VLOOKUP(DATE($Q$1,VLOOKUP($L$1,Daten!$P$2:$Q$13,2,FALSE),C6),Stundenaufzeichnung!$B:$AD,29,FALSE)),"")</f>
        <v/>
      </c>
      <c r="L6" s="61" t="str">
        <f>IFERROR(VLOOKUP(DATE($Q$1,VLOOKUP($L$1,Daten!$P$2:$Q$13,2,FALSE),C6),Stundenaufzeichnung!$B:$AB,25,FALSE),"")</f>
        <v/>
      </c>
      <c r="M6" s="62"/>
      <c r="N6" s="62"/>
      <c r="O6" s="63"/>
      <c r="P6" s="64"/>
      <c r="Q6" s="65"/>
      <c r="R6" s="133" t="str">
        <f>IFERROR(VLOOKUP(DATE($Q$1,VLOOKUP($L$1,Daten!$P$2:$Q$13,2,FALSE),C6),Stundenaufzeichnung!$B:$AD,27,FALSE),"")</f>
        <v/>
      </c>
    </row>
    <row r="7" spans="1:23" ht="20" customHeight="1">
      <c r="A7" s="66">
        <v>3</v>
      </c>
      <c r="B7" s="72">
        <f>IF(MONTH(VLOOKUP(DATE($Q$1,VLOOKUP($L$1,Daten!$P$2:$Q$13,2,FALSE),A7),Stundenaufzeichnung!$B:$AB,1,FALSE))=VLOOKUP($L$1,Daten!$P:$Q,2,FALSE),VLOOKUP(DATE($Q$1,VLOOKUP($L$1,Daten!$P$2:$Q$13,2,FALSE),A7),Stundenaufzeichnung!$B:$AB,1,FALSE),"")</f>
        <v>44564</v>
      </c>
      <c r="C7" s="132">
        <f t="shared" si="0"/>
        <v>3</v>
      </c>
      <c r="D7" s="50" t="str">
        <f>IFERROR(VLOOKUP(DATE($Q$1,VLOOKUP($L$1,Daten!$P$2:$Q$13,2,FALSE),C7),Stundenaufzeichnung!$B:$AB,19,FALSE),"")</f>
        <v/>
      </c>
      <c r="E7" s="59" t="str">
        <f>IFERROR(VLOOKUP(DATE($Q$1,VLOOKUP($L$1,Daten!$P$2:$Q$13,2,FALSE),C7),Stundenaufzeichnung!$B:$AB,20,FALSE),"")</f>
        <v/>
      </c>
      <c r="F7" s="161" t="str">
        <f>IFERROR(VLOOKUP(DATE($Q$1,VLOOKUP($L$1,Daten!$P$2:$Q$13,2,FALSE),C7),Stundenaufzeichnung!$B:$AD,28,FALSE),"")</f>
        <v/>
      </c>
      <c r="G7" s="162"/>
      <c r="H7" s="163"/>
      <c r="I7" s="51" t="str">
        <f t="shared" ref="I7:I35" si="1">IF(NOT(E7 = ""),(E7-D7)*24,"")</f>
        <v/>
      </c>
      <c r="J7" s="59" t="str">
        <f>IFERROR(VLOOKUP(DATE($Q$1,VLOOKUP($L$1,Daten!$P$2:$Q$13,2,FALSE),C7),Stundenaufzeichnung!$B:$AB,23,FALSE),"")</f>
        <v/>
      </c>
      <c r="K7" s="60" t="str">
        <f>IFERROR(IF(F7="","",VLOOKUP(DATE($Q$1,VLOOKUP($L$1,Daten!$P$2:$Q$13,2,FALSE),C7),Stundenaufzeichnung!$B:$AD,29,FALSE)),"")</f>
        <v/>
      </c>
      <c r="L7" s="61" t="str">
        <f>IFERROR(VLOOKUP(DATE($Q$1,VLOOKUP($L$1,Daten!$P$2:$Q$13,2,FALSE),C7),Stundenaufzeichnung!$B:$AB,25,FALSE),"")</f>
        <v/>
      </c>
      <c r="M7" s="62"/>
      <c r="N7" s="62"/>
      <c r="O7" s="63"/>
      <c r="P7" s="64"/>
      <c r="Q7" s="65"/>
      <c r="R7" s="133" t="str">
        <f>IFERROR(VLOOKUP(DATE($Q$1,VLOOKUP($L$1,Daten!$P$2:$Q$13,2,FALSE),C7),Stundenaufzeichnung!$B:$AD,27,FALSE),"")</f>
        <v/>
      </c>
    </row>
    <row r="8" spans="1:23" ht="20" customHeight="1">
      <c r="A8" s="66">
        <v>4</v>
      </c>
      <c r="B8" s="72">
        <f>IF(MONTH(VLOOKUP(DATE($Q$1,VLOOKUP($L$1,Daten!$P$2:$Q$13,2,FALSE),A8),Stundenaufzeichnung!$B:$AB,1,FALSE))=VLOOKUP($L$1,Daten!$P:$Q,2,FALSE),VLOOKUP(DATE($Q$1,VLOOKUP($L$1,Daten!$P$2:$Q$13,2,FALSE),A8),Stundenaufzeichnung!$B:$AB,1,FALSE),"")</f>
        <v>44565</v>
      </c>
      <c r="C8" s="132">
        <f t="shared" si="0"/>
        <v>4</v>
      </c>
      <c r="D8" s="50" t="str">
        <f>IFERROR(VLOOKUP(DATE($Q$1,VLOOKUP($L$1,Daten!$P$2:$Q$13,2,FALSE),C8),Stundenaufzeichnung!$B:$AB,19,FALSE),"")</f>
        <v/>
      </c>
      <c r="E8" s="59" t="str">
        <f>IFERROR(VLOOKUP(DATE($Q$1,VLOOKUP($L$1,Daten!$P$2:$Q$13,2,FALSE),C8),Stundenaufzeichnung!$B:$AB,20,FALSE),"")</f>
        <v/>
      </c>
      <c r="F8" s="161" t="str">
        <f>IFERROR(VLOOKUP(DATE($Q$1,VLOOKUP($L$1,Daten!$P$2:$Q$13,2,FALSE),C8),Stundenaufzeichnung!$B:$AD,28,FALSE),"")</f>
        <v/>
      </c>
      <c r="G8" s="162"/>
      <c r="H8" s="163"/>
      <c r="I8" s="51" t="str">
        <f t="shared" si="1"/>
        <v/>
      </c>
      <c r="J8" s="59" t="str">
        <f>IFERROR(VLOOKUP(DATE($Q$1,VLOOKUP($L$1,Daten!$P$2:$Q$13,2,FALSE),C8),Stundenaufzeichnung!$B:$AB,23,FALSE),"")</f>
        <v/>
      </c>
      <c r="K8" s="60" t="str">
        <f>IFERROR(IF(F8="","",VLOOKUP(DATE($Q$1,VLOOKUP($L$1,Daten!$P$2:$Q$13,2,FALSE),C8),Stundenaufzeichnung!$B:$AD,29,FALSE)),"")</f>
        <v/>
      </c>
      <c r="L8" s="61" t="str">
        <f>IFERROR(VLOOKUP(DATE($Q$1,VLOOKUP($L$1,Daten!$P$2:$Q$13,2,FALSE),C8),Stundenaufzeichnung!$B:$AB,25,FALSE),"")</f>
        <v/>
      </c>
      <c r="M8" s="62"/>
      <c r="N8" s="62"/>
      <c r="O8" s="63"/>
      <c r="P8" s="64"/>
      <c r="Q8" s="65"/>
      <c r="R8" s="133" t="str">
        <f>IFERROR(VLOOKUP(DATE($Q$1,VLOOKUP($L$1,Daten!$P$2:$Q$13,2,FALSE),C8),Stundenaufzeichnung!$B:$AD,27,FALSE),"")</f>
        <v/>
      </c>
    </row>
    <row r="9" spans="1:23" ht="20" customHeight="1">
      <c r="A9" s="66">
        <v>5</v>
      </c>
      <c r="B9" s="72">
        <f>IF(MONTH(VLOOKUP(DATE($Q$1,VLOOKUP($L$1,Daten!$P$2:$Q$13,2,FALSE),A9),Stundenaufzeichnung!$B:$AB,1,FALSE))=VLOOKUP($L$1,Daten!$P:$Q,2,FALSE),VLOOKUP(DATE($Q$1,VLOOKUP($L$1,Daten!$P$2:$Q$13,2,FALSE),A9),Stundenaufzeichnung!$B:$AB,1,FALSE),"")</f>
        <v>44566</v>
      </c>
      <c r="C9" s="132">
        <f t="shared" si="0"/>
        <v>5</v>
      </c>
      <c r="D9" s="50" t="str">
        <f>IFERROR(VLOOKUP(DATE($Q$1,VLOOKUP($L$1,Daten!$P$2:$Q$13,2,FALSE),C9),Stundenaufzeichnung!$B:$AB,19,FALSE),"")</f>
        <v/>
      </c>
      <c r="E9" s="59" t="str">
        <f>IFERROR(VLOOKUP(DATE($Q$1,VLOOKUP($L$1,Daten!$P$2:$Q$13,2,FALSE),C9),Stundenaufzeichnung!$B:$AB,20,FALSE),"")</f>
        <v/>
      </c>
      <c r="F9" s="161" t="str">
        <f>IFERROR(VLOOKUP(DATE($Q$1,VLOOKUP($L$1,Daten!$P$2:$Q$13,2,FALSE),C9),Stundenaufzeichnung!$B:$AD,28,FALSE),"")</f>
        <v/>
      </c>
      <c r="G9" s="162"/>
      <c r="H9" s="163"/>
      <c r="I9" s="51" t="str">
        <f t="shared" si="1"/>
        <v/>
      </c>
      <c r="J9" s="59" t="str">
        <f>IFERROR(VLOOKUP(DATE($Q$1,VLOOKUP($L$1,Daten!$P$2:$Q$13,2,FALSE),C9),Stundenaufzeichnung!$B:$AB,23,FALSE),"")</f>
        <v/>
      </c>
      <c r="K9" s="60" t="str">
        <f>IFERROR(IF(F9="","",VLOOKUP(DATE($Q$1,VLOOKUP($L$1,Daten!$P$2:$Q$13,2,FALSE),C9),Stundenaufzeichnung!$B:$AD,29,FALSE)),"")</f>
        <v/>
      </c>
      <c r="L9" s="61" t="str">
        <f>IFERROR(VLOOKUP(DATE($Q$1,VLOOKUP($L$1,Daten!$P$2:$Q$13,2,FALSE),C9),Stundenaufzeichnung!$B:$AB,25,FALSE),"")</f>
        <v/>
      </c>
      <c r="M9" s="62"/>
      <c r="N9" s="62"/>
      <c r="O9" s="63"/>
      <c r="P9" s="64"/>
      <c r="Q9" s="65"/>
      <c r="R9" s="133" t="str">
        <f>IFERROR(VLOOKUP(DATE($Q$1,VLOOKUP($L$1,Daten!$P$2:$Q$13,2,FALSE),C9),Stundenaufzeichnung!$B:$AD,27,FALSE),"")</f>
        <v/>
      </c>
    </row>
    <row r="10" spans="1:23" ht="20" customHeight="1">
      <c r="A10" s="66">
        <v>6</v>
      </c>
      <c r="B10" s="72">
        <f>IF(MONTH(VLOOKUP(DATE($Q$1,VLOOKUP($L$1,Daten!$P$2:$Q$13,2,FALSE),A10),Stundenaufzeichnung!$B:$AB,1,FALSE))=VLOOKUP($L$1,Daten!$P:$Q,2,FALSE),VLOOKUP(DATE($Q$1,VLOOKUP($L$1,Daten!$P$2:$Q$13,2,FALSE),A10),Stundenaufzeichnung!$B:$AB,1,FALSE),"")</f>
        <v>44567</v>
      </c>
      <c r="C10" s="132">
        <f t="shared" si="0"/>
        <v>6</v>
      </c>
      <c r="D10" s="50" t="str">
        <f>IFERROR(VLOOKUP(DATE($Q$1,VLOOKUP($L$1,Daten!$P$2:$Q$13,2,FALSE),C10),Stundenaufzeichnung!$B:$AB,19,FALSE),"")</f>
        <v/>
      </c>
      <c r="E10" s="59" t="str">
        <f>IFERROR(VLOOKUP(DATE($Q$1,VLOOKUP($L$1,Daten!$P$2:$Q$13,2,FALSE),C10),Stundenaufzeichnung!$B:$AB,20,FALSE),"")</f>
        <v/>
      </c>
      <c r="F10" s="161" t="str">
        <f>IFERROR(VLOOKUP(DATE($Q$1,VLOOKUP($L$1,Daten!$P$2:$Q$13,2,FALSE),C10),Stundenaufzeichnung!$B:$AD,28,FALSE),"")</f>
        <v>FT: Heilige Drei Könige</v>
      </c>
      <c r="G10" s="162"/>
      <c r="H10" s="163"/>
      <c r="I10" s="51" t="str">
        <f t="shared" si="1"/>
        <v/>
      </c>
      <c r="J10" s="59" t="str">
        <f>IFERROR(VLOOKUP(DATE($Q$1,VLOOKUP($L$1,Daten!$P$2:$Q$13,2,FALSE),C10),Stundenaufzeichnung!$B:$AB,23,FALSE),"")</f>
        <v/>
      </c>
      <c r="K10" s="60">
        <f>IFERROR(IF(F10="","",VLOOKUP(DATE($Q$1,VLOOKUP($L$1,Daten!$P$2:$Q$13,2,FALSE),C10),Stundenaufzeichnung!$B:$AD,29,FALSE)),"")</f>
        <v>6.67</v>
      </c>
      <c r="L10" s="61" t="str">
        <f>IFERROR(VLOOKUP(DATE($Q$1,VLOOKUP($L$1,Daten!$P$2:$Q$13,2,FALSE),C10),Stundenaufzeichnung!$B:$AB,25,FALSE),"")</f>
        <v/>
      </c>
      <c r="M10" s="62"/>
      <c r="N10" s="62"/>
      <c r="O10" s="63"/>
      <c r="P10" s="64"/>
      <c r="Q10" s="65"/>
      <c r="R10" s="133" t="str">
        <f>IFERROR(VLOOKUP(DATE($Q$1,VLOOKUP($L$1,Daten!$P$2:$Q$13,2,FALSE),C10),Stundenaufzeichnung!$B:$AD,27,FALSE),"")</f>
        <v/>
      </c>
    </row>
    <row r="11" spans="1:23" ht="20" customHeight="1">
      <c r="A11" s="66">
        <v>7</v>
      </c>
      <c r="B11" s="72">
        <f>IF(MONTH(VLOOKUP(DATE($Q$1,VLOOKUP($L$1,Daten!$P$2:$Q$13,2,FALSE),A11),Stundenaufzeichnung!$B:$AB,1,FALSE))=VLOOKUP($L$1,Daten!$P:$Q,2,FALSE),VLOOKUP(DATE($Q$1,VLOOKUP($L$1,Daten!$P$2:$Q$13,2,FALSE),A11),Stundenaufzeichnung!$B:$AB,1,FALSE),"")</f>
        <v>44568</v>
      </c>
      <c r="C11" s="132">
        <f t="shared" si="0"/>
        <v>7</v>
      </c>
      <c r="D11" s="50" t="str">
        <f>IFERROR(VLOOKUP(DATE($Q$1,VLOOKUP($L$1,Daten!$P$2:$Q$13,2,FALSE),C11),Stundenaufzeichnung!$B:$AB,19,FALSE),"")</f>
        <v/>
      </c>
      <c r="E11" s="59" t="str">
        <f>IFERROR(VLOOKUP(DATE($Q$1,VLOOKUP($L$1,Daten!$P$2:$Q$13,2,FALSE),C11),Stundenaufzeichnung!$B:$AB,20,FALSE),"")</f>
        <v/>
      </c>
      <c r="F11" s="161" t="str">
        <f>IFERROR(VLOOKUP(DATE($Q$1,VLOOKUP($L$1,Daten!$P$2:$Q$13,2,FALSE),C11),Stundenaufzeichnung!$B:$AD,28,FALSE),"")</f>
        <v/>
      </c>
      <c r="G11" s="162"/>
      <c r="H11" s="163"/>
      <c r="I11" s="51" t="str">
        <f t="shared" si="1"/>
        <v/>
      </c>
      <c r="J11" s="59" t="str">
        <f>IFERROR(VLOOKUP(DATE($Q$1,VLOOKUP($L$1,Daten!$P$2:$Q$13,2,FALSE),C11),Stundenaufzeichnung!$B:$AB,23,FALSE),"")</f>
        <v/>
      </c>
      <c r="K11" s="60" t="str">
        <f>IFERROR(IF(F11="","",VLOOKUP(DATE($Q$1,VLOOKUP($L$1,Daten!$P$2:$Q$13,2,FALSE),C11),Stundenaufzeichnung!$B:$AD,29,FALSE)),"")</f>
        <v/>
      </c>
      <c r="L11" s="61" t="str">
        <f>IFERROR(VLOOKUP(DATE($Q$1,VLOOKUP($L$1,Daten!$P$2:$Q$13,2,FALSE),C11),Stundenaufzeichnung!$B:$AB,25,FALSE),"")</f>
        <v/>
      </c>
      <c r="M11" s="62"/>
      <c r="N11" s="62"/>
      <c r="O11" s="63"/>
      <c r="P11" s="64"/>
      <c r="Q11" s="65"/>
      <c r="R11" s="133" t="str">
        <f>IFERROR(VLOOKUP(DATE($Q$1,VLOOKUP($L$1,Daten!$P$2:$Q$13,2,FALSE),C11),Stundenaufzeichnung!$B:$AD,27,FALSE),"")</f>
        <v/>
      </c>
    </row>
    <row r="12" spans="1:23" ht="20" customHeight="1">
      <c r="A12" s="66">
        <v>8</v>
      </c>
      <c r="B12" s="72">
        <f>IF(MONTH(VLOOKUP(DATE($Q$1,VLOOKUP($L$1,Daten!$P$2:$Q$13,2,FALSE),A12),Stundenaufzeichnung!$B:$AB,1,FALSE))=VLOOKUP($L$1,Daten!$P:$Q,2,FALSE),VLOOKUP(DATE($Q$1,VLOOKUP($L$1,Daten!$P$2:$Q$13,2,FALSE),A12),Stundenaufzeichnung!$B:$AB,1,FALSE),"")</f>
        <v>44569</v>
      </c>
      <c r="C12" s="132">
        <f t="shared" si="0"/>
        <v>8</v>
      </c>
      <c r="D12" s="50" t="str">
        <f>IFERROR(VLOOKUP(DATE($Q$1,VLOOKUP($L$1,Daten!$P$2:$Q$13,2,FALSE),C12),Stundenaufzeichnung!$B:$AB,19,FALSE),"")</f>
        <v/>
      </c>
      <c r="E12" s="59" t="str">
        <f>IFERROR(VLOOKUP(DATE($Q$1,VLOOKUP($L$1,Daten!$P$2:$Q$13,2,FALSE),C12),Stundenaufzeichnung!$B:$AB,20,FALSE),"")</f>
        <v/>
      </c>
      <c r="F12" s="161" t="str">
        <f>IFERROR(VLOOKUP(DATE($Q$1,VLOOKUP($L$1,Daten!$P$2:$Q$13,2,FALSE),C12),Stundenaufzeichnung!$B:$AD,28,FALSE),"")</f>
        <v/>
      </c>
      <c r="G12" s="162"/>
      <c r="H12" s="163"/>
      <c r="I12" s="51" t="str">
        <f t="shared" si="1"/>
        <v/>
      </c>
      <c r="J12" s="59" t="str">
        <f>IFERROR(VLOOKUP(DATE($Q$1,VLOOKUP($L$1,Daten!$P$2:$Q$13,2,FALSE),C12),Stundenaufzeichnung!$B:$AB,23,FALSE),"")</f>
        <v/>
      </c>
      <c r="K12" s="60" t="str">
        <f>IFERROR(IF(F12="","",VLOOKUP(DATE($Q$1,VLOOKUP($L$1,Daten!$P$2:$Q$13,2,FALSE),C12),Stundenaufzeichnung!$B:$AD,29,FALSE)),"")</f>
        <v/>
      </c>
      <c r="L12" s="61" t="str">
        <f>IFERROR(VLOOKUP(DATE($Q$1,VLOOKUP($L$1,Daten!$P$2:$Q$13,2,FALSE),C12),Stundenaufzeichnung!$B:$AB,25,FALSE),"")</f>
        <v/>
      </c>
      <c r="M12" s="62"/>
      <c r="N12" s="62"/>
      <c r="O12" s="63"/>
      <c r="P12" s="64"/>
      <c r="Q12" s="65"/>
      <c r="R12" s="133" t="str">
        <f>IFERROR(VLOOKUP(DATE($Q$1,VLOOKUP($L$1,Daten!$P$2:$Q$13,2,FALSE),C12),Stundenaufzeichnung!$B:$AD,27,FALSE),"")</f>
        <v/>
      </c>
      <c r="W12" s="81"/>
    </row>
    <row r="13" spans="1:23" ht="20" customHeight="1">
      <c r="A13" s="66">
        <v>9</v>
      </c>
      <c r="B13" s="72">
        <f>IF(MONTH(VLOOKUP(DATE($Q$1,VLOOKUP($L$1,Daten!$P$2:$Q$13,2,FALSE),A13),Stundenaufzeichnung!$B:$AB,1,FALSE))=VLOOKUP($L$1,Daten!$P:$Q,2,FALSE),VLOOKUP(DATE($Q$1,VLOOKUP($L$1,Daten!$P$2:$Q$13,2,FALSE),A13),Stundenaufzeichnung!$B:$AB,1,FALSE),"")</f>
        <v>44570</v>
      </c>
      <c r="C13" s="132">
        <f t="shared" si="0"/>
        <v>9</v>
      </c>
      <c r="D13" s="50" t="str">
        <f>IFERROR(VLOOKUP(DATE($Q$1,VLOOKUP($L$1,Daten!$P$2:$Q$13,2,FALSE),C13),Stundenaufzeichnung!$B:$AB,19,FALSE),"")</f>
        <v/>
      </c>
      <c r="E13" s="59" t="str">
        <f>IFERROR(VLOOKUP(DATE($Q$1,VLOOKUP($L$1,Daten!$P$2:$Q$13,2,FALSE),C13),Stundenaufzeichnung!$B:$AB,20,FALSE),"")</f>
        <v/>
      </c>
      <c r="F13" s="161" t="str">
        <f>IFERROR(VLOOKUP(DATE($Q$1,VLOOKUP($L$1,Daten!$P$2:$Q$13,2,FALSE),C13),Stundenaufzeichnung!$B:$AD,28,FALSE),"")</f>
        <v/>
      </c>
      <c r="G13" s="162"/>
      <c r="H13" s="163"/>
      <c r="I13" s="51" t="str">
        <f t="shared" si="1"/>
        <v/>
      </c>
      <c r="J13" s="59" t="str">
        <f>IFERROR(VLOOKUP(DATE($Q$1,VLOOKUP($L$1,Daten!$P$2:$Q$13,2,FALSE),C13),Stundenaufzeichnung!$B:$AB,23,FALSE),"")</f>
        <v/>
      </c>
      <c r="K13" s="60" t="str">
        <f>IFERROR(IF(F13="","",VLOOKUP(DATE($Q$1,VLOOKUP($L$1,Daten!$P$2:$Q$13,2,FALSE),C13),Stundenaufzeichnung!$B:$AD,29,FALSE)),"")</f>
        <v/>
      </c>
      <c r="L13" s="61" t="str">
        <f>IFERROR(VLOOKUP(DATE($Q$1,VLOOKUP($L$1,Daten!$P$2:$Q$13,2,FALSE),C13),Stundenaufzeichnung!$B:$AB,25,FALSE),"")</f>
        <v/>
      </c>
      <c r="M13" s="62"/>
      <c r="N13" s="62"/>
      <c r="O13" s="63"/>
      <c r="P13" s="64"/>
      <c r="Q13" s="65"/>
      <c r="R13" s="133" t="str">
        <f>IFERROR(VLOOKUP(DATE($Q$1,VLOOKUP($L$1,Daten!$P$2:$Q$13,2,FALSE),C13),Stundenaufzeichnung!$B:$AD,27,FALSE),"")</f>
        <v/>
      </c>
      <c r="W13" s="81"/>
    </row>
    <row r="14" spans="1:23" ht="20" customHeight="1">
      <c r="A14" s="66">
        <v>10</v>
      </c>
      <c r="B14" s="72">
        <f>IF(MONTH(VLOOKUP(DATE($Q$1,VLOOKUP($L$1,Daten!$P$2:$Q$13,2,FALSE),A14),Stundenaufzeichnung!$B:$AB,1,FALSE))=VLOOKUP($L$1,Daten!$P:$Q,2,FALSE),VLOOKUP(DATE($Q$1,VLOOKUP($L$1,Daten!$P$2:$Q$13,2,FALSE),A14),Stundenaufzeichnung!$B:$AB,1,FALSE),"")</f>
        <v>44571</v>
      </c>
      <c r="C14" s="132">
        <f t="shared" si="0"/>
        <v>10</v>
      </c>
      <c r="D14" s="50" t="str">
        <f>IFERROR(VLOOKUP(DATE($Q$1,VLOOKUP($L$1,Daten!$P$2:$Q$13,2,FALSE),C14),Stundenaufzeichnung!$B:$AB,19,FALSE),"")</f>
        <v/>
      </c>
      <c r="E14" s="59" t="str">
        <f>IFERROR(VLOOKUP(DATE($Q$1,VLOOKUP($L$1,Daten!$P$2:$Q$13,2,FALSE),C14),Stundenaufzeichnung!$B:$AB,20,FALSE),"")</f>
        <v/>
      </c>
      <c r="F14" s="161" t="str">
        <f>IFERROR(VLOOKUP(DATE($Q$1,VLOOKUP($L$1,Daten!$P$2:$Q$13,2,FALSE),C14),Stundenaufzeichnung!$B:$AD,28,FALSE),"")</f>
        <v/>
      </c>
      <c r="G14" s="162"/>
      <c r="H14" s="163"/>
      <c r="I14" s="51" t="str">
        <f t="shared" si="1"/>
        <v/>
      </c>
      <c r="J14" s="59" t="str">
        <f>IFERROR(VLOOKUP(DATE($Q$1,VLOOKUP($L$1,Daten!$P$2:$Q$13,2,FALSE),C14),Stundenaufzeichnung!$B:$AB,23,FALSE),"")</f>
        <v/>
      </c>
      <c r="K14" s="60" t="str">
        <f>IFERROR(IF(F14="","",VLOOKUP(DATE($Q$1,VLOOKUP($L$1,Daten!$P$2:$Q$13,2,FALSE),C14),Stundenaufzeichnung!$B:$AD,29,FALSE)),"")</f>
        <v/>
      </c>
      <c r="L14" s="61" t="str">
        <f>IFERROR(VLOOKUP(DATE($Q$1,VLOOKUP($L$1,Daten!$P$2:$Q$13,2,FALSE),C14),Stundenaufzeichnung!$B:$AB,25,FALSE),"")</f>
        <v/>
      </c>
      <c r="M14" s="62"/>
      <c r="N14" s="62"/>
      <c r="O14" s="63"/>
      <c r="P14" s="64"/>
      <c r="Q14" s="65"/>
      <c r="R14" s="133" t="str">
        <f>IFERROR(VLOOKUP(DATE($Q$1,VLOOKUP($L$1,Daten!$P$2:$Q$13,2,FALSE),C14),Stundenaufzeichnung!$B:$AD,27,FALSE),"")</f>
        <v/>
      </c>
    </row>
    <row r="15" spans="1:23" ht="20" customHeight="1">
      <c r="A15" s="66">
        <v>11</v>
      </c>
      <c r="B15" s="72">
        <f>IF(MONTH(VLOOKUP(DATE($Q$1,VLOOKUP($L$1,Daten!$P$2:$Q$13,2,FALSE),A15),Stundenaufzeichnung!$B:$AB,1,FALSE))=VLOOKUP($L$1,Daten!$P:$Q,2,FALSE),VLOOKUP(DATE($Q$1,VLOOKUP($L$1,Daten!$P$2:$Q$13,2,FALSE),A15),Stundenaufzeichnung!$B:$AB,1,FALSE),"")</f>
        <v>44572</v>
      </c>
      <c r="C15" s="132">
        <f t="shared" si="0"/>
        <v>11</v>
      </c>
      <c r="D15" s="50" t="str">
        <f>IFERROR(VLOOKUP(DATE($Q$1,VLOOKUP($L$1,Daten!$P$2:$Q$13,2,FALSE),C15),Stundenaufzeichnung!$B:$AB,19,FALSE),"")</f>
        <v/>
      </c>
      <c r="E15" s="59" t="str">
        <f>IFERROR(VLOOKUP(DATE($Q$1,VLOOKUP($L$1,Daten!$P$2:$Q$13,2,FALSE),C15),Stundenaufzeichnung!$B:$AB,20,FALSE),"")</f>
        <v/>
      </c>
      <c r="F15" s="161" t="str">
        <f>IFERROR(VLOOKUP(DATE($Q$1,VLOOKUP($L$1,Daten!$P$2:$Q$13,2,FALSE),C15),Stundenaufzeichnung!$B:$AD,28,FALSE),"")</f>
        <v/>
      </c>
      <c r="G15" s="162"/>
      <c r="H15" s="163"/>
      <c r="I15" s="51" t="str">
        <f t="shared" si="1"/>
        <v/>
      </c>
      <c r="J15" s="59" t="str">
        <f>IFERROR(VLOOKUP(DATE($Q$1,VLOOKUP($L$1,Daten!$P$2:$Q$13,2,FALSE),C15),Stundenaufzeichnung!$B:$AB,23,FALSE),"")</f>
        <v/>
      </c>
      <c r="K15" s="60" t="str">
        <f>IFERROR(IF(F15="","",VLOOKUP(DATE($Q$1,VLOOKUP($L$1,Daten!$P$2:$Q$13,2,FALSE),C15),Stundenaufzeichnung!$B:$AD,29,FALSE)),"")</f>
        <v/>
      </c>
      <c r="L15" s="61" t="str">
        <f>IFERROR(VLOOKUP(DATE($Q$1,VLOOKUP($L$1,Daten!$P$2:$Q$13,2,FALSE),C15),Stundenaufzeichnung!$B:$AB,25,FALSE),"")</f>
        <v/>
      </c>
      <c r="M15" s="62"/>
      <c r="N15" s="62"/>
      <c r="O15" s="63"/>
      <c r="P15" s="64"/>
      <c r="Q15" s="65"/>
      <c r="R15" s="133" t="str">
        <f>IFERROR(VLOOKUP(DATE($Q$1,VLOOKUP($L$1,Daten!$P$2:$Q$13,2,FALSE),C15),Stundenaufzeichnung!$B:$AD,27,FALSE),"")</f>
        <v/>
      </c>
    </row>
    <row r="16" spans="1:23" ht="20" customHeight="1">
      <c r="A16" s="66">
        <v>12</v>
      </c>
      <c r="B16" s="72">
        <f>IF(MONTH(VLOOKUP(DATE($Q$1,VLOOKUP($L$1,Daten!$P$2:$Q$13,2,FALSE),A16),Stundenaufzeichnung!$B:$AB,1,FALSE))=VLOOKUP($L$1,Daten!$P:$Q,2,FALSE),VLOOKUP(DATE($Q$1,VLOOKUP($L$1,Daten!$P$2:$Q$13,2,FALSE),A16),Stundenaufzeichnung!$B:$AB,1,FALSE),"")</f>
        <v>44573</v>
      </c>
      <c r="C16" s="132">
        <f t="shared" si="0"/>
        <v>12</v>
      </c>
      <c r="D16" s="50" t="str">
        <f>IFERROR(VLOOKUP(DATE($Q$1,VLOOKUP($L$1,Daten!$P$2:$Q$13,2,FALSE),C16),Stundenaufzeichnung!$B:$AB,19,FALSE),"")</f>
        <v/>
      </c>
      <c r="E16" s="59" t="str">
        <f>IFERROR(VLOOKUP(DATE($Q$1,VLOOKUP($L$1,Daten!$P$2:$Q$13,2,FALSE),C16),Stundenaufzeichnung!$B:$AB,20,FALSE),"")</f>
        <v/>
      </c>
      <c r="F16" s="161" t="str">
        <f>IFERROR(VLOOKUP(DATE($Q$1,VLOOKUP($L$1,Daten!$P$2:$Q$13,2,FALSE),C16),Stundenaufzeichnung!$B:$AD,28,FALSE),"")</f>
        <v/>
      </c>
      <c r="G16" s="162"/>
      <c r="H16" s="163"/>
      <c r="I16" s="51" t="str">
        <f t="shared" si="1"/>
        <v/>
      </c>
      <c r="J16" s="59" t="str">
        <f>IFERROR(VLOOKUP(DATE($Q$1,VLOOKUP($L$1,Daten!$P$2:$Q$13,2,FALSE),C16),Stundenaufzeichnung!$B:$AB,23,FALSE),"")</f>
        <v/>
      </c>
      <c r="K16" s="60" t="str">
        <f>IFERROR(IF(F16="","",VLOOKUP(DATE($Q$1,VLOOKUP($L$1,Daten!$P$2:$Q$13,2,FALSE),C16),Stundenaufzeichnung!$B:$AD,29,FALSE)),"")</f>
        <v/>
      </c>
      <c r="L16" s="61" t="str">
        <f>IFERROR(VLOOKUP(DATE($Q$1,VLOOKUP($L$1,Daten!$P$2:$Q$13,2,FALSE),C16),Stundenaufzeichnung!$B:$AB,25,FALSE),"")</f>
        <v/>
      </c>
      <c r="M16" s="62"/>
      <c r="N16" s="62"/>
      <c r="O16" s="63"/>
      <c r="P16" s="64"/>
      <c r="Q16" s="65"/>
      <c r="R16" s="133" t="str">
        <f>IFERROR(VLOOKUP(DATE($Q$1,VLOOKUP($L$1,Daten!$P$2:$Q$13,2,FALSE),C16),Stundenaufzeichnung!$B:$AD,27,FALSE),"")</f>
        <v/>
      </c>
    </row>
    <row r="17" spans="1:21" ht="20" customHeight="1">
      <c r="A17" s="66">
        <v>13</v>
      </c>
      <c r="B17" s="72">
        <f>IF(MONTH(VLOOKUP(DATE($Q$1,VLOOKUP($L$1,Daten!$P$2:$Q$13,2,FALSE),A17),Stundenaufzeichnung!$B:$AB,1,FALSE))=VLOOKUP($L$1,Daten!$P:$Q,2,FALSE),VLOOKUP(DATE($Q$1,VLOOKUP($L$1,Daten!$P$2:$Q$13,2,FALSE),A17),Stundenaufzeichnung!$B:$AB,1,FALSE),"")</f>
        <v>44574</v>
      </c>
      <c r="C17" s="132">
        <f t="shared" si="0"/>
        <v>13</v>
      </c>
      <c r="D17" s="50" t="str">
        <f>IFERROR(VLOOKUP(DATE($Q$1,VLOOKUP($L$1,Daten!$P$2:$Q$13,2,FALSE),C17),Stundenaufzeichnung!$B:$AB,19,FALSE),"")</f>
        <v/>
      </c>
      <c r="E17" s="59" t="str">
        <f>IFERROR(VLOOKUP(DATE($Q$1,VLOOKUP($L$1,Daten!$P$2:$Q$13,2,FALSE),C17),Stundenaufzeichnung!$B:$AB,20,FALSE),"")</f>
        <v/>
      </c>
      <c r="F17" s="161" t="str">
        <f>IFERROR(VLOOKUP(DATE($Q$1,VLOOKUP($L$1,Daten!$P$2:$Q$13,2,FALSE),C17),Stundenaufzeichnung!$B:$AD,28,FALSE),"")</f>
        <v/>
      </c>
      <c r="G17" s="162"/>
      <c r="H17" s="163"/>
      <c r="I17" s="51" t="str">
        <f t="shared" si="1"/>
        <v/>
      </c>
      <c r="J17" s="59" t="str">
        <f>IFERROR(VLOOKUP(DATE($Q$1,VLOOKUP($L$1,Daten!$P$2:$Q$13,2,FALSE),C17),Stundenaufzeichnung!$B:$AB,23,FALSE),"")</f>
        <v/>
      </c>
      <c r="K17" s="60" t="str">
        <f>IFERROR(IF(F17="","",VLOOKUP(DATE($Q$1,VLOOKUP($L$1,Daten!$P$2:$Q$13,2,FALSE),C17),Stundenaufzeichnung!$B:$AD,29,FALSE)),"")</f>
        <v/>
      </c>
      <c r="L17" s="61" t="str">
        <f>IFERROR(VLOOKUP(DATE($Q$1,VLOOKUP($L$1,Daten!$P$2:$Q$13,2,FALSE),C17),Stundenaufzeichnung!$B:$AB,25,FALSE),"")</f>
        <v/>
      </c>
      <c r="M17" s="62"/>
      <c r="N17" s="62"/>
      <c r="O17" s="63"/>
      <c r="P17" s="64"/>
      <c r="Q17" s="65"/>
      <c r="R17" s="133" t="str">
        <f>IFERROR(VLOOKUP(DATE($Q$1,VLOOKUP($L$1,Daten!$P$2:$Q$13,2,FALSE),C17),Stundenaufzeichnung!$B:$AD,27,FALSE),"")</f>
        <v/>
      </c>
      <c r="U17" s="81"/>
    </row>
    <row r="18" spans="1:21" ht="20" customHeight="1">
      <c r="A18" s="66">
        <v>14</v>
      </c>
      <c r="B18" s="72">
        <f>IF(MONTH(VLOOKUP(DATE($Q$1,VLOOKUP($L$1,Daten!$P$2:$Q$13,2,FALSE),A18),Stundenaufzeichnung!$B:$AB,1,FALSE))=VLOOKUP($L$1,Daten!$P:$Q,2,FALSE),VLOOKUP(DATE($Q$1,VLOOKUP($L$1,Daten!$P$2:$Q$13,2,FALSE),A18),Stundenaufzeichnung!$B:$AB,1,FALSE),"")</f>
        <v>44575</v>
      </c>
      <c r="C18" s="132">
        <f t="shared" si="0"/>
        <v>14</v>
      </c>
      <c r="D18" s="50" t="str">
        <f>IFERROR(VLOOKUP(DATE($Q$1,VLOOKUP($L$1,Daten!$P$2:$Q$13,2,FALSE),C18),Stundenaufzeichnung!$B:$AB,19,FALSE),"")</f>
        <v/>
      </c>
      <c r="E18" s="59" t="str">
        <f>IFERROR(VLOOKUP(DATE($Q$1,VLOOKUP($L$1,Daten!$P$2:$Q$13,2,FALSE),C18),Stundenaufzeichnung!$B:$AB,20,FALSE),"")</f>
        <v/>
      </c>
      <c r="F18" s="161" t="str">
        <f>IFERROR(VLOOKUP(DATE($Q$1,VLOOKUP($L$1,Daten!$P$2:$Q$13,2,FALSE),C18),Stundenaufzeichnung!$B:$AD,28,FALSE),"")</f>
        <v/>
      </c>
      <c r="G18" s="162"/>
      <c r="H18" s="163"/>
      <c r="I18" s="51" t="str">
        <f t="shared" si="1"/>
        <v/>
      </c>
      <c r="J18" s="59" t="str">
        <f>IFERROR(VLOOKUP(DATE($Q$1,VLOOKUP($L$1,Daten!$P$2:$Q$13,2,FALSE),C18),Stundenaufzeichnung!$B:$AB,23,FALSE),"")</f>
        <v/>
      </c>
      <c r="K18" s="60" t="str">
        <f>IFERROR(IF(F18="","",VLOOKUP(DATE($Q$1,VLOOKUP($L$1,Daten!$P$2:$Q$13,2,FALSE),C18),Stundenaufzeichnung!$B:$AD,29,FALSE)),"")</f>
        <v/>
      </c>
      <c r="L18" s="61" t="str">
        <f>IFERROR(VLOOKUP(DATE($Q$1,VLOOKUP($L$1,Daten!$P$2:$Q$13,2,FALSE),C18),Stundenaufzeichnung!$B:$AB,25,FALSE),"")</f>
        <v/>
      </c>
      <c r="M18" s="62"/>
      <c r="N18" s="62"/>
      <c r="O18" s="63"/>
      <c r="P18" s="64"/>
      <c r="Q18" s="65"/>
      <c r="R18" s="133" t="str">
        <f>IFERROR(VLOOKUP(DATE($Q$1,VLOOKUP($L$1,Daten!$P$2:$Q$13,2,FALSE),C18),Stundenaufzeichnung!$B:$AD,27,FALSE),"")</f>
        <v/>
      </c>
    </row>
    <row r="19" spans="1:21" ht="20" customHeight="1">
      <c r="A19" s="66">
        <v>15</v>
      </c>
      <c r="B19" s="72">
        <f>IF(MONTH(VLOOKUP(DATE($Q$1,VLOOKUP($L$1,Daten!$P$2:$Q$13,2,FALSE),A19),Stundenaufzeichnung!$B:$AB,1,FALSE))=VLOOKUP($L$1,Daten!$P:$Q,2,FALSE),VLOOKUP(DATE($Q$1,VLOOKUP($L$1,Daten!$P$2:$Q$13,2,FALSE),A19),Stundenaufzeichnung!$B:$AB,1,FALSE),"")</f>
        <v>44576</v>
      </c>
      <c r="C19" s="132">
        <f t="shared" si="0"/>
        <v>15</v>
      </c>
      <c r="D19" s="50" t="str">
        <f>IFERROR(VLOOKUP(DATE($Q$1,VLOOKUP($L$1,Daten!$P$2:$Q$13,2,FALSE),C19),Stundenaufzeichnung!$B:$AB,19,FALSE),"")</f>
        <v/>
      </c>
      <c r="E19" s="59" t="str">
        <f>IFERROR(VLOOKUP(DATE($Q$1,VLOOKUP($L$1,Daten!$P$2:$Q$13,2,FALSE),C19),Stundenaufzeichnung!$B:$AB,20,FALSE),"")</f>
        <v/>
      </c>
      <c r="F19" s="161" t="str">
        <f>IFERROR(VLOOKUP(DATE($Q$1,VLOOKUP($L$1,Daten!$P$2:$Q$13,2,FALSE),C19),Stundenaufzeichnung!$B:$AD,28,FALSE),"")</f>
        <v/>
      </c>
      <c r="G19" s="162"/>
      <c r="H19" s="163"/>
      <c r="I19" s="51" t="str">
        <f t="shared" si="1"/>
        <v/>
      </c>
      <c r="J19" s="59" t="str">
        <f>IFERROR(VLOOKUP(DATE($Q$1,VLOOKUP($L$1,Daten!$P$2:$Q$13,2,FALSE),C19),Stundenaufzeichnung!$B:$AB,23,FALSE),"")</f>
        <v/>
      </c>
      <c r="K19" s="60" t="str">
        <f>IFERROR(IF(F19="","",VLOOKUP(DATE($Q$1,VLOOKUP($L$1,Daten!$P$2:$Q$13,2,FALSE),C19),Stundenaufzeichnung!$B:$AD,29,FALSE)),"")</f>
        <v/>
      </c>
      <c r="L19" s="61" t="str">
        <f>IFERROR(VLOOKUP(DATE($Q$1,VLOOKUP($L$1,Daten!$P$2:$Q$13,2,FALSE),C19),Stundenaufzeichnung!$B:$AB,25,FALSE),"")</f>
        <v/>
      </c>
      <c r="M19" s="62"/>
      <c r="N19" s="62"/>
      <c r="O19" s="63"/>
      <c r="P19" s="64"/>
      <c r="Q19" s="65"/>
      <c r="R19" s="133" t="str">
        <f>IFERROR(VLOOKUP(DATE($Q$1,VLOOKUP($L$1,Daten!$P$2:$Q$13,2,FALSE),C19),Stundenaufzeichnung!$B:$AD,27,FALSE),"")</f>
        <v/>
      </c>
    </row>
    <row r="20" spans="1:21" ht="20" customHeight="1">
      <c r="A20" s="66">
        <v>16</v>
      </c>
      <c r="B20" s="72">
        <f>IF(MONTH(VLOOKUP(DATE($Q$1,VLOOKUP($L$1,Daten!$P$2:$Q$13,2,FALSE),A20),Stundenaufzeichnung!$B:$AB,1,FALSE))=VLOOKUP($L$1,Daten!$P:$Q,2,FALSE),VLOOKUP(DATE($Q$1,VLOOKUP($L$1,Daten!$P$2:$Q$13,2,FALSE),A20),Stundenaufzeichnung!$B:$AB,1,FALSE),"")</f>
        <v>44577</v>
      </c>
      <c r="C20" s="132">
        <f t="shared" si="0"/>
        <v>16</v>
      </c>
      <c r="D20" s="50" t="str">
        <f>IFERROR(VLOOKUP(DATE($Q$1,VLOOKUP($L$1,Daten!$P$2:$Q$13,2,FALSE),C20),Stundenaufzeichnung!$B:$AB,19,FALSE),"")</f>
        <v/>
      </c>
      <c r="E20" s="59" t="str">
        <f>IFERROR(VLOOKUP(DATE($Q$1,VLOOKUP($L$1,Daten!$P$2:$Q$13,2,FALSE),C20),Stundenaufzeichnung!$B:$AB,20,FALSE),"")</f>
        <v/>
      </c>
      <c r="F20" s="161" t="str">
        <f>IFERROR(VLOOKUP(DATE($Q$1,VLOOKUP($L$1,Daten!$P$2:$Q$13,2,FALSE),C20),Stundenaufzeichnung!$B:$AD,28,FALSE),"")</f>
        <v/>
      </c>
      <c r="G20" s="162"/>
      <c r="H20" s="163"/>
      <c r="I20" s="51" t="str">
        <f t="shared" si="1"/>
        <v/>
      </c>
      <c r="J20" s="59" t="str">
        <f>IFERROR(VLOOKUP(DATE($Q$1,VLOOKUP($L$1,Daten!$P$2:$Q$13,2,FALSE),C20),Stundenaufzeichnung!$B:$AB,23,FALSE),"")</f>
        <v/>
      </c>
      <c r="K20" s="60" t="str">
        <f>IFERROR(IF(F20="","",VLOOKUP(DATE($Q$1,VLOOKUP($L$1,Daten!$P$2:$Q$13,2,FALSE),C20),Stundenaufzeichnung!$B:$AD,29,FALSE)),"")</f>
        <v/>
      </c>
      <c r="L20" s="61" t="str">
        <f>IFERROR(VLOOKUP(DATE($Q$1,VLOOKUP($L$1,Daten!$P$2:$Q$13,2,FALSE),C20),Stundenaufzeichnung!$B:$AB,25,FALSE),"")</f>
        <v/>
      </c>
      <c r="M20" s="62"/>
      <c r="N20" s="62"/>
      <c r="O20" s="63"/>
      <c r="P20" s="64"/>
      <c r="Q20" s="65"/>
      <c r="R20" s="133" t="str">
        <f>IFERROR(VLOOKUP(DATE($Q$1,VLOOKUP($L$1,Daten!$P$2:$Q$13,2,FALSE),C20),Stundenaufzeichnung!$B:$AD,27,FALSE),"")</f>
        <v/>
      </c>
    </row>
    <row r="21" spans="1:21" ht="20" customHeight="1">
      <c r="A21" s="66">
        <v>17</v>
      </c>
      <c r="B21" s="72">
        <f>IF(MONTH(VLOOKUP(DATE($Q$1,VLOOKUP($L$1,Daten!$P$2:$Q$13,2,FALSE),A21),Stundenaufzeichnung!$B:$AB,1,FALSE))=VLOOKUP($L$1,Daten!$P:$Q,2,FALSE),VLOOKUP(DATE($Q$1,VLOOKUP($L$1,Daten!$P$2:$Q$13,2,FALSE),A21),Stundenaufzeichnung!$B:$AB,1,FALSE),"")</f>
        <v>44578</v>
      </c>
      <c r="C21" s="132">
        <f t="shared" si="0"/>
        <v>17</v>
      </c>
      <c r="D21" s="50" t="str">
        <f>IFERROR(VLOOKUP(DATE($Q$1,VLOOKUP($L$1,Daten!$P$2:$Q$13,2,FALSE),C21),Stundenaufzeichnung!$B:$AB,19,FALSE),"")</f>
        <v/>
      </c>
      <c r="E21" s="59" t="str">
        <f>IFERROR(VLOOKUP(DATE($Q$1,VLOOKUP($L$1,Daten!$P$2:$Q$13,2,FALSE),C21),Stundenaufzeichnung!$B:$AB,20,FALSE),"")</f>
        <v/>
      </c>
      <c r="F21" s="161" t="str">
        <f>IFERROR(VLOOKUP(DATE($Q$1,VLOOKUP($L$1,Daten!$P$2:$Q$13,2,FALSE),C21),Stundenaufzeichnung!$B:$AD,28,FALSE),"")</f>
        <v/>
      </c>
      <c r="G21" s="162"/>
      <c r="H21" s="163"/>
      <c r="I21" s="51" t="str">
        <f t="shared" si="1"/>
        <v/>
      </c>
      <c r="J21" s="59" t="str">
        <f>IFERROR(VLOOKUP(DATE($Q$1,VLOOKUP($L$1,Daten!$P$2:$Q$13,2,FALSE),C21),Stundenaufzeichnung!$B:$AB,23,FALSE),"")</f>
        <v/>
      </c>
      <c r="K21" s="60" t="str">
        <f>IFERROR(IF(F21="","",VLOOKUP(DATE($Q$1,VLOOKUP($L$1,Daten!$P$2:$Q$13,2,FALSE),C21),Stundenaufzeichnung!$B:$AD,29,FALSE)),"")</f>
        <v/>
      </c>
      <c r="L21" s="61" t="str">
        <f>IFERROR(VLOOKUP(DATE($Q$1,VLOOKUP($L$1,Daten!$P$2:$Q$13,2,FALSE),C21),Stundenaufzeichnung!$B:$AB,25,FALSE),"")</f>
        <v/>
      </c>
      <c r="M21" s="62"/>
      <c r="N21" s="62"/>
      <c r="O21" s="63"/>
      <c r="P21" s="64"/>
      <c r="Q21" s="65"/>
      <c r="R21" s="133" t="str">
        <f>IFERROR(VLOOKUP(DATE($Q$1,VLOOKUP($L$1,Daten!$P$2:$Q$13,2,FALSE),C21),Stundenaufzeichnung!$B:$AD,27,FALSE),"")</f>
        <v/>
      </c>
    </row>
    <row r="22" spans="1:21" ht="20" customHeight="1">
      <c r="A22" s="66">
        <v>18</v>
      </c>
      <c r="B22" s="72">
        <f>IF(MONTH(VLOOKUP(DATE($Q$1,VLOOKUP($L$1,Daten!$P$2:$Q$13,2,FALSE),A22),Stundenaufzeichnung!$B:$AB,1,FALSE))=VLOOKUP($L$1,Daten!$P:$Q,2,FALSE),VLOOKUP(DATE($Q$1,VLOOKUP($L$1,Daten!$P$2:$Q$13,2,FALSE),A22),Stundenaufzeichnung!$B:$AB,1,FALSE),"")</f>
        <v>44579</v>
      </c>
      <c r="C22" s="132">
        <f t="shared" si="0"/>
        <v>18</v>
      </c>
      <c r="D22" s="50" t="str">
        <f>IFERROR(VLOOKUP(DATE($Q$1,VLOOKUP($L$1,Daten!$P$2:$Q$13,2,FALSE),C22),Stundenaufzeichnung!$B:$AB,19,FALSE),"")</f>
        <v/>
      </c>
      <c r="E22" s="59" t="str">
        <f>IFERROR(VLOOKUP(DATE($Q$1,VLOOKUP($L$1,Daten!$P$2:$Q$13,2,FALSE),C22),Stundenaufzeichnung!$B:$AB,20,FALSE),"")</f>
        <v/>
      </c>
      <c r="F22" s="161" t="str">
        <f>IFERROR(VLOOKUP(DATE($Q$1,VLOOKUP($L$1,Daten!$P$2:$Q$13,2,FALSE),C22),Stundenaufzeichnung!$B:$AD,28,FALSE),"")</f>
        <v/>
      </c>
      <c r="G22" s="162"/>
      <c r="H22" s="163"/>
      <c r="I22" s="51" t="str">
        <f t="shared" si="1"/>
        <v/>
      </c>
      <c r="J22" s="59" t="str">
        <f>IFERROR(VLOOKUP(DATE($Q$1,VLOOKUP($L$1,Daten!$P$2:$Q$13,2,FALSE),C22),Stundenaufzeichnung!$B:$AB,23,FALSE),"")</f>
        <v/>
      </c>
      <c r="K22" s="60" t="str">
        <f>IFERROR(IF(F22="","",VLOOKUP(DATE($Q$1,VLOOKUP($L$1,Daten!$P$2:$Q$13,2,FALSE),C22),Stundenaufzeichnung!$B:$AD,29,FALSE)),"")</f>
        <v/>
      </c>
      <c r="L22" s="61" t="str">
        <f>IFERROR(VLOOKUP(DATE($Q$1,VLOOKUP($L$1,Daten!$P$2:$Q$13,2,FALSE),C22),Stundenaufzeichnung!$B:$AB,25,FALSE),"")</f>
        <v/>
      </c>
      <c r="M22" s="62"/>
      <c r="N22" s="62"/>
      <c r="O22" s="63"/>
      <c r="P22" s="64"/>
      <c r="Q22" s="65"/>
      <c r="R22" s="133" t="str">
        <f>IFERROR(VLOOKUP(DATE($Q$1,VLOOKUP($L$1,Daten!$P$2:$Q$13,2,FALSE),C22),Stundenaufzeichnung!$B:$AD,27,FALSE),"")</f>
        <v/>
      </c>
    </row>
    <row r="23" spans="1:21" ht="20" customHeight="1">
      <c r="A23" s="66">
        <v>19</v>
      </c>
      <c r="B23" s="72">
        <f>IF(MONTH(VLOOKUP(DATE($Q$1,VLOOKUP($L$1,Daten!$P$2:$Q$13,2,FALSE),A23),Stundenaufzeichnung!$B:$AB,1,FALSE))=VLOOKUP($L$1,Daten!$P:$Q,2,FALSE),VLOOKUP(DATE($Q$1,VLOOKUP($L$1,Daten!$P$2:$Q$13,2,FALSE),A23),Stundenaufzeichnung!$B:$AB,1,FALSE),"")</f>
        <v>44580</v>
      </c>
      <c r="C23" s="132">
        <f t="shared" si="0"/>
        <v>19</v>
      </c>
      <c r="D23" s="50" t="str">
        <f>IFERROR(VLOOKUP(DATE($Q$1,VLOOKUP($L$1,Daten!$P$2:$Q$13,2,FALSE),C23),Stundenaufzeichnung!$B:$AB,19,FALSE),"")</f>
        <v/>
      </c>
      <c r="E23" s="59" t="str">
        <f>IFERROR(VLOOKUP(DATE($Q$1,VLOOKUP($L$1,Daten!$P$2:$Q$13,2,FALSE),C23),Stundenaufzeichnung!$B:$AB,20,FALSE),"")</f>
        <v/>
      </c>
      <c r="F23" s="161" t="str">
        <f>IFERROR(VLOOKUP(DATE($Q$1,VLOOKUP($L$1,Daten!$P$2:$Q$13,2,FALSE),C23),Stundenaufzeichnung!$B:$AD,28,FALSE),"")</f>
        <v/>
      </c>
      <c r="G23" s="162"/>
      <c r="H23" s="163"/>
      <c r="I23" s="51" t="str">
        <f t="shared" si="1"/>
        <v/>
      </c>
      <c r="J23" s="59" t="str">
        <f>IFERROR(VLOOKUP(DATE($Q$1,VLOOKUP($L$1,Daten!$P$2:$Q$13,2,FALSE),C23),Stundenaufzeichnung!$B:$AB,23,FALSE),"")</f>
        <v/>
      </c>
      <c r="K23" s="60" t="str">
        <f>IFERROR(IF(F23="","",VLOOKUP(DATE($Q$1,VLOOKUP($L$1,Daten!$P$2:$Q$13,2,FALSE),C23),Stundenaufzeichnung!$B:$AD,29,FALSE)),"")</f>
        <v/>
      </c>
      <c r="L23" s="61" t="str">
        <f>IFERROR(VLOOKUP(DATE($Q$1,VLOOKUP($L$1,Daten!$P$2:$Q$13,2,FALSE),C23),Stundenaufzeichnung!$B:$AB,25,FALSE),"")</f>
        <v/>
      </c>
      <c r="M23" s="62"/>
      <c r="N23" s="62"/>
      <c r="O23" s="63"/>
      <c r="P23" s="64"/>
      <c r="Q23" s="65"/>
      <c r="R23" s="133" t="str">
        <f>IFERROR(VLOOKUP(DATE($Q$1,VLOOKUP($L$1,Daten!$P$2:$Q$13,2,FALSE),C23),Stundenaufzeichnung!$B:$AD,27,FALSE),"")</f>
        <v/>
      </c>
    </row>
    <row r="24" spans="1:21" ht="20" customHeight="1">
      <c r="A24" s="66">
        <v>20</v>
      </c>
      <c r="B24" s="72">
        <f>IF(MONTH(VLOOKUP(DATE($Q$1,VLOOKUP($L$1,Daten!$P$2:$Q$13,2,FALSE),A24),Stundenaufzeichnung!$B:$AB,1,FALSE))=VLOOKUP($L$1,Daten!$P:$Q,2,FALSE),VLOOKUP(DATE($Q$1,VLOOKUP($L$1,Daten!$P$2:$Q$13,2,FALSE),A24),Stundenaufzeichnung!$B:$AB,1,FALSE),"")</f>
        <v>44581</v>
      </c>
      <c r="C24" s="132">
        <f t="shared" si="0"/>
        <v>20</v>
      </c>
      <c r="D24" s="50" t="str">
        <f>IFERROR(VLOOKUP(DATE($Q$1,VLOOKUP($L$1,Daten!$P$2:$Q$13,2,FALSE),C24),Stundenaufzeichnung!$B:$AB,19,FALSE),"")</f>
        <v/>
      </c>
      <c r="E24" s="59" t="str">
        <f>IFERROR(VLOOKUP(DATE($Q$1,VLOOKUP($L$1,Daten!$P$2:$Q$13,2,FALSE),C24),Stundenaufzeichnung!$B:$AB,20,FALSE),"")</f>
        <v/>
      </c>
      <c r="F24" s="161" t="str">
        <f>IFERROR(VLOOKUP(DATE($Q$1,VLOOKUP($L$1,Daten!$P$2:$Q$13,2,FALSE),C24),Stundenaufzeichnung!$B:$AD,28,FALSE),"")</f>
        <v/>
      </c>
      <c r="G24" s="162"/>
      <c r="H24" s="163"/>
      <c r="I24" s="51" t="str">
        <f t="shared" si="1"/>
        <v/>
      </c>
      <c r="J24" s="59" t="str">
        <f>IFERROR(VLOOKUP(DATE($Q$1,VLOOKUP($L$1,Daten!$P$2:$Q$13,2,FALSE),C24),Stundenaufzeichnung!$B:$AB,23,FALSE),"")</f>
        <v/>
      </c>
      <c r="K24" s="60" t="str">
        <f>IFERROR(IF(F24="","",VLOOKUP(DATE($Q$1,VLOOKUP($L$1,Daten!$P$2:$Q$13,2,FALSE),C24),Stundenaufzeichnung!$B:$AD,29,FALSE)),"")</f>
        <v/>
      </c>
      <c r="L24" s="61" t="str">
        <f>IFERROR(VLOOKUP(DATE($Q$1,VLOOKUP($L$1,Daten!$P$2:$Q$13,2,FALSE),C24),Stundenaufzeichnung!$B:$AB,25,FALSE),"")</f>
        <v/>
      </c>
      <c r="M24" s="62"/>
      <c r="N24" s="62"/>
      <c r="O24" s="63"/>
      <c r="P24" s="64"/>
      <c r="Q24" s="65"/>
      <c r="R24" s="133" t="str">
        <f>IFERROR(VLOOKUP(DATE($Q$1,VLOOKUP($L$1,Daten!$P$2:$Q$13,2,FALSE),C24),Stundenaufzeichnung!$B:$AD,27,FALSE),"")</f>
        <v/>
      </c>
    </row>
    <row r="25" spans="1:21" ht="20" customHeight="1">
      <c r="A25" s="66">
        <v>21</v>
      </c>
      <c r="B25" s="72">
        <f>IF(MONTH(VLOOKUP(DATE($Q$1,VLOOKUP($L$1,Daten!$P$2:$Q$13,2,FALSE),A25),Stundenaufzeichnung!$B:$AB,1,FALSE))=VLOOKUP($L$1,Daten!$P:$Q,2,FALSE),VLOOKUP(DATE($Q$1,VLOOKUP($L$1,Daten!$P$2:$Q$13,2,FALSE),A25),Stundenaufzeichnung!$B:$AB,1,FALSE),"")</f>
        <v>44582</v>
      </c>
      <c r="C25" s="132">
        <f t="shared" si="0"/>
        <v>21</v>
      </c>
      <c r="D25" s="50" t="str">
        <f>IFERROR(VLOOKUP(DATE($Q$1,VLOOKUP($L$1,Daten!$P$2:$Q$13,2,FALSE),C25),Stundenaufzeichnung!$B:$AB,19,FALSE),"")</f>
        <v/>
      </c>
      <c r="E25" s="59" t="str">
        <f>IFERROR(VLOOKUP(DATE($Q$1,VLOOKUP($L$1,Daten!$P$2:$Q$13,2,FALSE),C25),Stundenaufzeichnung!$B:$AB,20,FALSE),"")</f>
        <v/>
      </c>
      <c r="F25" s="161" t="str">
        <f>IFERROR(VLOOKUP(DATE($Q$1,VLOOKUP($L$1,Daten!$P$2:$Q$13,2,FALSE),C25),Stundenaufzeichnung!$B:$AD,28,FALSE),"")</f>
        <v/>
      </c>
      <c r="G25" s="162"/>
      <c r="H25" s="163"/>
      <c r="I25" s="51" t="str">
        <f t="shared" si="1"/>
        <v/>
      </c>
      <c r="J25" s="59" t="str">
        <f>IFERROR(VLOOKUP(DATE($Q$1,VLOOKUP($L$1,Daten!$P$2:$Q$13,2,FALSE),C25),Stundenaufzeichnung!$B:$AB,23,FALSE),"")</f>
        <v/>
      </c>
      <c r="K25" s="60" t="str">
        <f>IFERROR(IF(F25="","",VLOOKUP(DATE($Q$1,VLOOKUP($L$1,Daten!$P$2:$Q$13,2,FALSE),C25),Stundenaufzeichnung!$B:$AD,29,FALSE)),"")</f>
        <v/>
      </c>
      <c r="L25" s="61" t="str">
        <f>IFERROR(VLOOKUP(DATE($Q$1,VLOOKUP($L$1,Daten!$P$2:$Q$13,2,FALSE),C25),Stundenaufzeichnung!$B:$AB,25,FALSE),"")</f>
        <v/>
      </c>
      <c r="M25" s="62"/>
      <c r="N25" s="62"/>
      <c r="O25" s="63"/>
      <c r="P25" s="64"/>
      <c r="Q25" s="65"/>
      <c r="R25" s="133" t="str">
        <f>IFERROR(VLOOKUP(DATE($Q$1,VLOOKUP($L$1,Daten!$P$2:$Q$13,2,FALSE),C25),Stundenaufzeichnung!$B:$AD,27,FALSE),"")</f>
        <v/>
      </c>
    </row>
    <row r="26" spans="1:21" ht="20" customHeight="1">
      <c r="A26" s="66">
        <v>22</v>
      </c>
      <c r="B26" s="72">
        <f>IF(MONTH(VLOOKUP(DATE($Q$1,VLOOKUP($L$1,Daten!$P$2:$Q$13,2,FALSE),A26),Stundenaufzeichnung!$B:$AB,1,FALSE))=VLOOKUP($L$1,Daten!$P:$Q,2,FALSE),VLOOKUP(DATE($Q$1,VLOOKUP($L$1,Daten!$P$2:$Q$13,2,FALSE),A26),Stundenaufzeichnung!$B:$AB,1,FALSE),"")</f>
        <v>44583</v>
      </c>
      <c r="C26" s="132">
        <f t="shared" si="0"/>
        <v>22</v>
      </c>
      <c r="D26" s="50" t="str">
        <f>IFERROR(VLOOKUP(DATE($Q$1,VLOOKUP($L$1,Daten!$P$2:$Q$13,2,FALSE),C26),Stundenaufzeichnung!$B:$AB,19,FALSE),"")</f>
        <v/>
      </c>
      <c r="E26" s="59" t="str">
        <f>IFERROR(VLOOKUP(DATE($Q$1,VLOOKUP($L$1,Daten!$P$2:$Q$13,2,FALSE),C26),Stundenaufzeichnung!$B:$AB,20,FALSE),"")</f>
        <v/>
      </c>
      <c r="F26" s="161" t="str">
        <f>IFERROR(VLOOKUP(DATE($Q$1,VLOOKUP($L$1,Daten!$P$2:$Q$13,2,FALSE),C26),Stundenaufzeichnung!$B:$AD,28,FALSE),"")</f>
        <v/>
      </c>
      <c r="G26" s="162"/>
      <c r="H26" s="163"/>
      <c r="I26" s="51" t="str">
        <f t="shared" si="1"/>
        <v/>
      </c>
      <c r="J26" s="59" t="str">
        <f>IFERROR(VLOOKUP(DATE($Q$1,VLOOKUP($L$1,Daten!$P$2:$Q$13,2,FALSE),C26),Stundenaufzeichnung!$B:$AB,23,FALSE),"")</f>
        <v/>
      </c>
      <c r="K26" s="60" t="str">
        <f>IFERROR(IF(F26="","",VLOOKUP(DATE($Q$1,VLOOKUP($L$1,Daten!$P$2:$Q$13,2,FALSE),C26),Stundenaufzeichnung!$B:$AD,29,FALSE)),"")</f>
        <v/>
      </c>
      <c r="L26" s="61" t="str">
        <f>IFERROR(VLOOKUP(DATE($Q$1,VLOOKUP($L$1,Daten!$P$2:$Q$13,2,FALSE),C26),Stundenaufzeichnung!$B:$AB,25,FALSE),"")</f>
        <v/>
      </c>
      <c r="M26" s="62"/>
      <c r="N26" s="62"/>
      <c r="O26" s="63"/>
      <c r="P26" s="64"/>
      <c r="Q26" s="65"/>
      <c r="R26" s="133" t="str">
        <f>IFERROR(VLOOKUP(DATE($Q$1,VLOOKUP($L$1,Daten!$P$2:$Q$13,2,FALSE),C26),Stundenaufzeichnung!$B:$AD,27,FALSE),"")</f>
        <v/>
      </c>
    </row>
    <row r="27" spans="1:21" ht="20" customHeight="1">
      <c r="A27" s="66">
        <v>23</v>
      </c>
      <c r="B27" s="72">
        <f>IF(MONTH(VLOOKUP(DATE($Q$1,VLOOKUP($L$1,Daten!$P$2:$Q$13,2,FALSE),A27),Stundenaufzeichnung!$B:$AB,1,FALSE))=VLOOKUP($L$1,Daten!$P:$Q,2,FALSE),VLOOKUP(DATE($Q$1,VLOOKUP($L$1,Daten!$P$2:$Q$13,2,FALSE),A27),Stundenaufzeichnung!$B:$AB,1,FALSE),"")</f>
        <v>44584</v>
      </c>
      <c r="C27" s="132">
        <f t="shared" si="0"/>
        <v>23</v>
      </c>
      <c r="D27" s="50" t="str">
        <f>IFERROR(VLOOKUP(DATE($Q$1,VLOOKUP($L$1,Daten!$P$2:$Q$13,2,FALSE),C27),Stundenaufzeichnung!$B:$AB,19,FALSE),"")</f>
        <v/>
      </c>
      <c r="E27" s="59" t="str">
        <f>IFERROR(VLOOKUP(DATE($Q$1,VLOOKUP($L$1,Daten!$P$2:$Q$13,2,FALSE),C27),Stundenaufzeichnung!$B:$AB,20,FALSE),"")</f>
        <v/>
      </c>
      <c r="F27" s="161" t="str">
        <f>IFERROR(VLOOKUP(DATE($Q$1,VLOOKUP($L$1,Daten!$P$2:$Q$13,2,FALSE),C27),Stundenaufzeichnung!$B:$AD,28,FALSE),"")</f>
        <v/>
      </c>
      <c r="G27" s="162"/>
      <c r="H27" s="163"/>
      <c r="I27" s="51" t="str">
        <f t="shared" si="1"/>
        <v/>
      </c>
      <c r="J27" s="59" t="str">
        <f>IFERROR(VLOOKUP(DATE($Q$1,VLOOKUP($L$1,Daten!$P$2:$Q$13,2,FALSE),C27),Stundenaufzeichnung!$B:$AB,23,FALSE),"")</f>
        <v/>
      </c>
      <c r="K27" s="60" t="str">
        <f>IFERROR(IF(F27="","",VLOOKUP(DATE($Q$1,VLOOKUP($L$1,Daten!$P$2:$Q$13,2,FALSE),C27),Stundenaufzeichnung!$B:$AD,29,FALSE)),"")</f>
        <v/>
      </c>
      <c r="L27" s="61" t="str">
        <f>IFERROR(VLOOKUP(DATE($Q$1,VLOOKUP($L$1,Daten!$P$2:$Q$13,2,FALSE),C27),Stundenaufzeichnung!$B:$AB,25,FALSE),"")</f>
        <v/>
      </c>
      <c r="M27" s="62"/>
      <c r="N27" s="62"/>
      <c r="O27" s="63"/>
      <c r="P27" s="64"/>
      <c r="Q27" s="65"/>
      <c r="R27" s="133" t="str">
        <f>IFERROR(VLOOKUP(DATE($Q$1,VLOOKUP($L$1,Daten!$P$2:$Q$13,2,FALSE),C27),Stundenaufzeichnung!$B:$AD,27,FALSE),"")</f>
        <v/>
      </c>
    </row>
    <row r="28" spans="1:21" ht="20" customHeight="1">
      <c r="A28" s="66">
        <v>24</v>
      </c>
      <c r="B28" s="72">
        <f>IF(MONTH(VLOOKUP(DATE($Q$1,VLOOKUP($L$1,Daten!$P$2:$Q$13,2,FALSE),A28),Stundenaufzeichnung!$B:$AB,1,FALSE))=VLOOKUP($L$1,Daten!$P:$Q,2,FALSE),VLOOKUP(DATE($Q$1,VLOOKUP($L$1,Daten!$P$2:$Q$13,2,FALSE),A28),Stundenaufzeichnung!$B:$AB,1,FALSE),"")</f>
        <v>44585</v>
      </c>
      <c r="C28" s="132">
        <f t="shared" si="0"/>
        <v>24</v>
      </c>
      <c r="D28" s="50" t="str">
        <f>IFERROR(VLOOKUP(DATE($Q$1,VLOOKUP($L$1,Daten!$P$2:$Q$13,2,FALSE),C28),Stundenaufzeichnung!$B:$AB,19,FALSE),"")</f>
        <v/>
      </c>
      <c r="E28" s="59" t="str">
        <f>IFERROR(VLOOKUP(DATE($Q$1,VLOOKUP($L$1,Daten!$P$2:$Q$13,2,FALSE),C28),Stundenaufzeichnung!$B:$AB,20,FALSE),"")</f>
        <v/>
      </c>
      <c r="F28" s="161" t="str">
        <f>IFERROR(VLOOKUP(DATE($Q$1,VLOOKUP($L$1,Daten!$P$2:$Q$13,2,FALSE),C28),Stundenaufzeichnung!$B:$AD,28,FALSE),"")</f>
        <v/>
      </c>
      <c r="G28" s="162"/>
      <c r="H28" s="163"/>
      <c r="I28" s="51" t="str">
        <f t="shared" si="1"/>
        <v/>
      </c>
      <c r="J28" s="59" t="str">
        <f>IFERROR(VLOOKUP(DATE($Q$1,VLOOKUP($L$1,Daten!$P$2:$Q$13,2,FALSE),C28),Stundenaufzeichnung!$B:$AB,23,FALSE),"")</f>
        <v/>
      </c>
      <c r="K28" s="60" t="str">
        <f>IFERROR(IF(F28="","",VLOOKUP(DATE($Q$1,VLOOKUP($L$1,Daten!$P$2:$Q$13,2,FALSE),C28),Stundenaufzeichnung!$B:$AD,29,FALSE)),"")</f>
        <v/>
      </c>
      <c r="L28" s="61" t="str">
        <f>IFERROR(VLOOKUP(DATE($Q$1,VLOOKUP($L$1,Daten!$P$2:$Q$13,2,FALSE),C28),Stundenaufzeichnung!$B:$AB,25,FALSE),"")</f>
        <v/>
      </c>
      <c r="M28" s="62"/>
      <c r="N28" s="62"/>
      <c r="O28" s="63"/>
      <c r="P28" s="64"/>
      <c r="Q28" s="65"/>
      <c r="R28" s="133" t="str">
        <f>IFERROR(VLOOKUP(DATE($Q$1,VLOOKUP($L$1,Daten!$P$2:$Q$13,2,FALSE),C28),Stundenaufzeichnung!$B:$AD,27,FALSE),"")</f>
        <v/>
      </c>
    </row>
    <row r="29" spans="1:21" ht="20" customHeight="1">
      <c r="A29" s="66">
        <v>25</v>
      </c>
      <c r="B29" s="72">
        <f>IF(MONTH(VLOOKUP(DATE($Q$1,VLOOKUP($L$1,Daten!$P$2:$Q$13,2,FALSE),A29),Stundenaufzeichnung!$B:$AB,1,FALSE))=VLOOKUP($L$1,Daten!$P:$Q,2,FALSE),VLOOKUP(DATE($Q$1,VLOOKUP($L$1,Daten!$P$2:$Q$13,2,FALSE),A29),Stundenaufzeichnung!$B:$AB,1,FALSE),"")</f>
        <v>44586</v>
      </c>
      <c r="C29" s="132">
        <f t="shared" si="0"/>
        <v>25</v>
      </c>
      <c r="D29" s="50" t="str">
        <f>IFERROR(VLOOKUP(DATE($Q$1,VLOOKUP($L$1,Daten!$P$2:$Q$13,2,FALSE),C29),Stundenaufzeichnung!$B:$AB,19,FALSE),"")</f>
        <v/>
      </c>
      <c r="E29" s="59" t="str">
        <f>IFERROR(VLOOKUP(DATE($Q$1,VLOOKUP($L$1,Daten!$P$2:$Q$13,2,FALSE),C29),Stundenaufzeichnung!$B:$AB,20,FALSE),"")</f>
        <v/>
      </c>
      <c r="F29" s="161" t="str">
        <f>IFERROR(VLOOKUP(DATE($Q$1,VLOOKUP($L$1,Daten!$P$2:$Q$13,2,FALSE),C29),Stundenaufzeichnung!$B:$AD,28,FALSE),"")</f>
        <v/>
      </c>
      <c r="G29" s="162"/>
      <c r="H29" s="163"/>
      <c r="I29" s="51" t="str">
        <f t="shared" si="1"/>
        <v/>
      </c>
      <c r="J29" s="59" t="str">
        <f>IFERROR(VLOOKUP(DATE($Q$1,VLOOKUP($L$1,Daten!$P$2:$Q$13,2,FALSE),C29),Stundenaufzeichnung!$B:$AB,23,FALSE),"")</f>
        <v/>
      </c>
      <c r="K29" s="60" t="str">
        <f>IFERROR(IF(F29="","",VLOOKUP(DATE($Q$1,VLOOKUP($L$1,Daten!$P$2:$Q$13,2,FALSE),C29),Stundenaufzeichnung!$B:$AD,29,FALSE)),"")</f>
        <v/>
      </c>
      <c r="L29" s="61" t="str">
        <f>IFERROR(VLOOKUP(DATE($Q$1,VLOOKUP($L$1,Daten!$P$2:$Q$13,2,FALSE),C29),Stundenaufzeichnung!$B:$AB,25,FALSE),"")</f>
        <v/>
      </c>
      <c r="M29" s="62"/>
      <c r="N29" s="62"/>
      <c r="O29" s="63"/>
      <c r="P29" s="64"/>
      <c r="Q29" s="65"/>
      <c r="R29" s="133" t="str">
        <f>IFERROR(VLOOKUP(DATE($Q$1,VLOOKUP($L$1,Daten!$P$2:$Q$13,2,FALSE),C29),Stundenaufzeichnung!$B:$AD,27,FALSE),"")</f>
        <v/>
      </c>
    </row>
    <row r="30" spans="1:21" ht="20" customHeight="1">
      <c r="A30" s="66">
        <v>26</v>
      </c>
      <c r="B30" s="72">
        <f>IF(MONTH(VLOOKUP(DATE($Q$1,VLOOKUP($L$1,Daten!$P$2:$Q$13,2,FALSE),A30),Stundenaufzeichnung!$B:$AB,1,FALSE))=VLOOKUP($L$1,Daten!$P:$Q,2,FALSE),VLOOKUP(DATE($Q$1,VLOOKUP($L$1,Daten!$P$2:$Q$13,2,FALSE),A30),Stundenaufzeichnung!$B:$AB,1,FALSE),"")</f>
        <v>44587</v>
      </c>
      <c r="C30" s="132">
        <f t="shared" si="0"/>
        <v>26</v>
      </c>
      <c r="D30" s="50" t="str">
        <f>IFERROR(VLOOKUP(DATE($Q$1,VLOOKUP($L$1,Daten!$P$2:$Q$13,2,FALSE),C30),Stundenaufzeichnung!$B:$AB,19,FALSE),"")</f>
        <v/>
      </c>
      <c r="E30" s="59" t="str">
        <f>IFERROR(VLOOKUP(DATE($Q$1,VLOOKUP($L$1,Daten!$P$2:$Q$13,2,FALSE),C30),Stundenaufzeichnung!$B:$AB,20,FALSE),"")</f>
        <v/>
      </c>
      <c r="F30" s="161" t="str">
        <f>IFERROR(VLOOKUP(DATE($Q$1,VLOOKUP($L$1,Daten!$P$2:$Q$13,2,FALSE),C30),Stundenaufzeichnung!$B:$AD,28,FALSE),"")</f>
        <v/>
      </c>
      <c r="G30" s="162"/>
      <c r="H30" s="163"/>
      <c r="I30" s="51" t="str">
        <f t="shared" si="1"/>
        <v/>
      </c>
      <c r="J30" s="59" t="str">
        <f>IFERROR(VLOOKUP(DATE($Q$1,VLOOKUP($L$1,Daten!$P$2:$Q$13,2,FALSE),C30),Stundenaufzeichnung!$B:$AB,23,FALSE),"")</f>
        <v/>
      </c>
      <c r="K30" s="60" t="str">
        <f>IFERROR(IF(F30="","",VLOOKUP(DATE($Q$1,VLOOKUP($L$1,Daten!$P$2:$Q$13,2,FALSE),C30),Stundenaufzeichnung!$B:$AD,29,FALSE)),"")</f>
        <v/>
      </c>
      <c r="L30" s="61" t="str">
        <f>IFERROR(VLOOKUP(DATE($Q$1,VLOOKUP($L$1,Daten!$P$2:$Q$13,2,FALSE),C30),Stundenaufzeichnung!$B:$AB,25,FALSE),"")</f>
        <v/>
      </c>
      <c r="M30" s="62"/>
      <c r="N30" s="62"/>
      <c r="O30" s="63"/>
      <c r="P30" s="64"/>
      <c r="Q30" s="65"/>
      <c r="R30" s="133" t="str">
        <f>IFERROR(VLOOKUP(DATE($Q$1,VLOOKUP($L$1,Daten!$P$2:$Q$13,2,FALSE),C30),Stundenaufzeichnung!$B:$AD,27,FALSE),"")</f>
        <v/>
      </c>
    </row>
    <row r="31" spans="1:21" ht="20" customHeight="1">
      <c r="A31" s="66">
        <v>27</v>
      </c>
      <c r="B31" s="72">
        <f>IF(MONTH(VLOOKUP(DATE($Q$1,VLOOKUP($L$1,Daten!$P$2:$Q$13,2,FALSE),A31),Stundenaufzeichnung!$B:$AB,1,FALSE))=VLOOKUP($L$1,Daten!$P:$Q,2,FALSE),VLOOKUP(DATE($Q$1,VLOOKUP($L$1,Daten!$P$2:$Q$13,2,FALSE),A31),Stundenaufzeichnung!$B:$AB,1,FALSE),"")</f>
        <v>44588</v>
      </c>
      <c r="C31" s="132">
        <f t="shared" si="0"/>
        <v>27</v>
      </c>
      <c r="D31" s="50" t="str">
        <f>IFERROR(VLOOKUP(DATE($Q$1,VLOOKUP($L$1,Daten!$P$2:$Q$13,2,FALSE),C31),Stundenaufzeichnung!$B:$AB,19,FALSE),"")</f>
        <v/>
      </c>
      <c r="E31" s="59" t="str">
        <f>IFERROR(VLOOKUP(DATE($Q$1,VLOOKUP($L$1,Daten!$P$2:$Q$13,2,FALSE),C31),Stundenaufzeichnung!$B:$AB,20,FALSE),"")</f>
        <v/>
      </c>
      <c r="F31" s="161" t="str">
        <f>IFERROR(VLOOKUP(DATE($Q$1,VLOOKUP($L$1,Daten!$P$2:$Q$13,2,FALSE),C31),Stundenaufzeichnung!$B:$AD,28,FALSE),"")</f>
        <v/>
      </c>
      <c r="G31" s="162"/>
      <c r="H31" s="163"/>
      <c r="I31" s="51" t="str">
        <f t="shared" si="1"/>
        <v/>
      </c>
      <c r="J31" s="59" t="str">
        <f>IFERROR(VLOOKUP(DATE($Q$1,VLOOKUP($L$1,Daten!$P$2:$Q$13,2,FALSE),C31),Stundenaufzeichnung!$B:$AB,23,FALSE),"")</f>
        <v/>
      </c>
      <c r="K31" s="60" t="str">
        <f>IFERROR(IF(F31="","",VLOOKUP(DATE($Q$1,VLOOKUP($L$1,Daten!$P$2:$Q$13,2,FALSE),C31),Stundenaufzeichnung!$B:$AD,29,FALSE)),"")</f>
        <v/>
      </c>
      <c r="L31" s="61" t="str">
        <f>IFERROR(VLOOKUP(DATE($Q$1,VLOOKUP($L$1,Daten!$P$2:$Q$13,2,FALSE),C31),Stundenaufzeichnung!$B:$AB,25,FALSE),"")</f>
        <v/>
      </c>
      <c r="M31" s="62"/>
      <c r="N31" s="62"/>
      <c r="O31" s="63"/>
      <c r="P31" s="64"/>
      <c r="Q31" s="65"/>
      <c r="R31" s="133" t="str">
        <f>IFERROR(VLOOKUP(DATE($Q$1,VLOOKUP($L$1,Daten!$P$2:$Q$13,2,FALSE),C31),Stundenaufzeichnung!$B:$AD,27,FALSE),"")</f>
        <v/>
      </c>
    </row>
    <row r="32" spans="1:21" ht="20" customHeight="1">
      <c r="A32" s="66">
        <v>28</v>
      </c>
      <c r="B32" s="72">
        <f>IF(MONTH(VLOOKUP(DATE($Q$1,VLOOKUP($L$1,Daten!$P$2:$Q$13,2,FALSE),A32),Stundenaufzeichnung!$B:$AB,1,FALSE))=VLOOKUP($L$1,Daten!$P:$Q,2,FALSE),VLOOKUP(DATE($Q$1,VLOOKUP($L$1,Daten!$P$2:$Q$13,2,FALSE),A32),Stundenaufzeichnung!$B:$AB,1,FALSE),"")</f>
        <v>44589</v>
      </c>
      <c r="C32" s="132">
        <f t="shared" si="0"/>
        <v>28</v>
      </c>
      <c r="D32" s="50" t="str">
        <f>IFERROR(VLOOKUP(DATE($Q$1,VLOOKUP($L$1,Daten!$P$2:$Q$13,2,FALSE),C32),Stundenaufzeichnung!$B:$AB,19,FALSE),"")</f>
        <v/>
      </c>
      <c r="E32" s="59" t="str">
        <f>IFERROR(VLOOKUP(DATE($Q$1,VLOOKUP($L$1,Daten!$P$2:$Q$13,2,FALSE),C32),Stundenaufzeichnung!$B:$AB,20,FALSE),"")</f>
        <v/>
      </c>
      <c r="F32" s="161" t="str">
        <f>IFERROR(VLOOKUP(DATE($Q$1,VLOOKUP($L$1,Daten!$P$2:$Q$13,2,FALSE),C32),Stundenaufzeichnung!$B:$AD,28,FALSE),"")</f>
        <v/>
      </c>
      <c r="G32" s="162"/>
      <c r="H32" s="163"/>
      <c r="I32" s="51" t="str">
        <f t="shared" si="1"/>
        <v/>
      </c>
      <c r="J32" s="59" t="str">
        <f>IFERROR(VLOOKUP(DATE($Q$1,VLOOKUP($L$1,Daten!$P$2:$Q$13,2,FALSE),C32),Stundenaufzeichnung!$B:$AB,23,FALSE),"")</f>
        <v/>
      </c>
      <c r="K32" s="60" t="str">
        <f>IFERROR(IF(F32="","",VLOOKUP(DATE($Q$1,VLOOKUP($L$1,Daten!$P$2:$Q$13,2,FALSE),C32),Stundenaufzeichnung!$B:$AD,29,FALSE)),"")</f>
        <v/>
      </c>
      <c r="L32" s="61" t="str">
        <f>IFERROR(VLOOKUP(DATE($Q$1,VLOOKUP($L$1,Daten!$P$2:$Q$13,2,FALSE),C32),Stundenaufzeichnung!$B:$AB,25,FALSE),"")</f>
        <v/>
      </c>
      <c r="M32" s="62"/>
      <c r="N32" s="62"/>
      <c r="O32" s="63"/>
      <c r="P32" s="64"/>
      <c r="Q32" s="65"/>
      <c r="R32" s="133" t="str">
        <f>IFERROR(VLOOKUP(DATE($Q$1,VLOOKUP($L$1,Daten!$P$2:$Q$13,2,FALSE),C32),Stundenaufzeichnung!$B:$AD,27,FALSE),"")</f>
        <v/>
      </c>
    </row>
    <row r="33" spans="1:22" ht="20" customHeight="1">
      <c r="A33" s="66">
        <v>29</v>
      </c>
      <c r="B33" s="72">
        <f>IF(MONTH(VLOOKUP(DATE($Q$1,VLOOKUP($L$1,Daten!$P$2:$Q$13,2,FALSE),A33),Stundenaufzeichnung!$B:$AB,1,FALSE))=VLOOKUP($L$1,Daten!$P:$Q,2,FALSE),VLOOKUP(DATE($Q$1,VLOOKUP($L$1,Daten!$P$2:$Q$13,2,FALSE),A33),Stundenaufzeichnung!$B:$AB,1,FALSE),"")</f>
        <v>44590</v>
      </c>
      <c r="C33" s="132">
        <f t="shared" si="0"/>
        <v>29</v>
      </c>
      <c r="D33" s="50" t="str">
        <f>IFERROR(VLOOKUP(DATE($Q$1,VLOOKUP($L$1,Daten!$P$2:$Q$13,2,FALSE),C33),Stundenaufzeichnung!$B:$AB,19,FALSE),"")</f>
        <v/>
      </c>
      <c r="E33" s="59" t="str">
        <f>IFERROR(VLOOKUP(DATE($Q$1,VLOOKUP($L$1,Daten!$P$2:$Q$13,2,FALSE),C33),Stundenaufzeichnung!$B:$AB,20,FALSE),"")</f>
        <v/>
      </c>
      <c r="F33" s="161" t="str">
        <f>IFERROR(VLOOKUP(DATE($Q$1,VLOOKUP($L$1,Daten!$P$2:$Q$13,2,FALSE),C33),Stundenaufzeichnung!$B:$AD,28,FALSE),"")</f>
        <v/>
      </c>
      <c r="G33" s="162"/>
      <c r="H33" s="163"/>
      <c r="I33" s="51" t="str">
        <f t="shared" si="1"/>
        <v/>
      </c>
      <c r="J33" s="59" t="str">
        <f>IFERROR(VLOOKUP(DATE($Q$1,VLOOKUP($L$1,Daten!$P$2:$Q$13,2,FALSE),C33),Stundenaufzeichnung!$B:$AB,23,FALSE),"")</f>
        <v/>
      </c>
      <c r="K33" s="60" t="str">
        <f>IFERROR(IF(F33="","",VLOOKUP(DATE($Q$1,VLOOKUP($L$1,Daten!$P$2:$Q$13,2,FALSE),C33),Stundenaufzeichnung!$B:$AD,29,FALSE)),"")</f>
        <v/>
      </c>
      <c r="L33" s="61" t="str">
        <f>IFERROR(VLOOKUP(DATE($Q$1,VLOOKUP($L$1,Daten!$P$2:$Q$13,2,FALSE),C33),Stundenaufzeichnung!$B:$AB,25,FALSE),"")</f>
        <v/>
      </c>
      <c r="M33" s="62"/>
      <c r="N33" s="62"/>
      <c r="O33" s="63"/>
      <c r="P33" s="64"/>
      <c r="Q33" s="65"/>
      <c r="R33" s="133" t="str">
        <f>IFERROR(VLOOKUP(DATE($Q$1,VLOOKUP($L$1,Daten!$P$2:$Q$13,2,FALSE),C33),Stundenaufzeichnung!$B:$AD,27,FALSE),"")</f>
        <v/>
      </c>
    </row>
    <row r="34" spans="1:22" ht="20" customHeight="1">
      <c r="A34" s="66">
        <v>30</v>
      </c>
      <c r="B34" s="72">
        <f>IF(MONTH(VLOOKUP(DATE($Q$1,VLOOKUP($L$1,Daten!$P$2:$Q$13,2,FALSE),A34),Stundenaufzeichnung!$B:$AB,1,FALSE))=VLOOKUP($L$1,Daten!$P:$Q,2,FALSE),VLOOKUP(DATE($Q$1,VLOOKUP($L$1,Daten!$P$2:$Q$13,2,FALSE),A34),Stundenaufzeichnung!$B:$AB,1,FALSE),"")</f>
        <v>44591</v>
      </c>
      <c r="C34" s="132">
        <f t="shared" si="0"/>
        <v>30</v>
      </c>
      <c r="D34" s="50" t="str">
        <f>IFERROR(VLOOKUP(DATE($Q$1,VLOOKUP($L$1,Daten!$P$2:$Q$13,2,FALSE),C34),Stundenaufzeichnung!$B:$AB,19,FALSE),"")</f>
        <v/>
      </c>
      <c r="E34" s="59" t="str">
        <f>IFERROR(VLOOKUP(DATE($Q$1,VLOOKUP($L$1,Daten!$P$2:$Q$13,2,FALSE),C34),Stundenaufzeichnung!$B:$AB,20,FALSE),"")</f>
        <v/>
      </c>
      <c r="F34" s="161" t="str">
        <f>IFERROR(VLOOKUP(DATE($Q$1,VLOOKUP($L$1,Daten!$P$2:$Q$13,2,FALSE),C34),Stundenaufzeichnung!$B:$AD,28,FALSE),"")</f>
        <v/>
      </c>
      <c r="G34" s="162"/>
      <c r="H34" s="163"/>
      <c r="I34" s="51" t="str">
        <f t="shared" si="1"/>
        <v/>
      </c>
      <c r="J34" s="59" t="str">
        <f>IFERROR(VLOOKUP(DATE($Q$1,VLOOKUP($L$1,Daten!$P$2:$Q$13,2,FALSE),C34),Stundenaufzeichnung!$B:$AB,23,FALSE),"")</f>
        <v/>
      </c>
      <c r="K34" s="60" t="str">
        <f>IFERROR(IF(F34="","",VLOOKUP(DATE($Q$1,VLOOKUP($L$1,Daten!$P$2:$Q$13,2,FALSE),C34),Stundenaufzeichnung!$B:$AD,29,FALSE)),"")</f>
        <v/>
      </c>
      <c r="L34" s="61" t="str">
        <f>IFERROR(VLOOKUP(DATE($Q$1,VLOOKUP($L$1,Daten!$P$2:$Q$13,2,FALSE),C34),Stundenaufzeichnung!$B:$AB,25,FALSE),"")</f>
        <v/>
      </c>
      <c r="M34" s="62"/>
      <c r="N34" s="62"/>
      <c r="O34" s="63"/>
      <c r="P34" s="64"/>
      <c r="Q34" s="65"/>
      <c r="R34" s="133" t="str">
        <f>IFERROR(VLOOKUP(DATE($Q$1,VLOOKUP($L$1,Daten!$P$2:$Q$13,2,FALSE),C34),Stundenaufzeichnung!$B:$AD,27,FALSE),"")</f>
        <v/>
      </c>
    </row>
    <row r="35" spans="1:22" ht="20" customHeight="1">
      <c r="A35" s="66">
        <v>31</v>
      </c>
      <c r="B35" s="72">
        <f>IF(MONTH(VLOOKUP(DATE($Q$1,VLOOKUP($L$1,Daten!$P$2:$Q$13,2,FALSE),A35),Stundenaufzeichnung!$B:$AB,1,FALSE))=VLOOKUP($L$1,Daten!$P:$Q,2,FALSE),VLOOKUP(DATE($Q$1,VLOOKUP($L$1,Daten!$P$2:$Q$13,2,FALSE),A35),Stundenaufzeichnung!$B:$AB,1,FALSE),"")</f>
        <v>44592</v>
      </c>
      <c r="C35" s="134">
        <f t="shared" si="0"/>
        <v>31</v>
      </c>
      <c r="D35" s="135" t="str">
        <f>IFERROR(VLOOKUP(DATE($Q$1,VLOOKUP($L$1,Daten!$P$2:$Q$13,2,FALSE),C35),Stundenaufzeichnung!$B:$AB,19,FALSE),"")</f>
        <v/>
      </c>
      <c r="E35" s="136" t="str">
        <f>IFERROR(VLOOKUP(DATE($Q$1,VLOOKUP($L$1,Daten!$P$2:$Q$13,2,FALSE),C35),Stundenaufzeichnung!$B:$AB,20,FALSE),"")</f>
        <v/>
      </c>
      <c r="F35" s="173" t="str">
        <f>IFERROR(VLOOKUP(DATE($Q$1,VLOOKUP($L$1,Daten!$P$2:$Q$13,2,FALSE),C35),Stundenaufzeichnung!$B:$AD,28,FALSE),"")</f>
        <v/>
      </c>
      <c r="G35" s="174"/>
      <c r="H35" s="175"/>
      <c r="I35" s="137" t="str">
        <f t="shared" si="1"/>
        <v/>
      </c>
      <c r="J35" s="136" t="str">
        <f>IFERROR(VLOOKUP(DATE($Q$1,VLOOKUP($L$1,Daten!$P$2:$Q$13,2,FALSE),C35),Stundenaufzeichnung!$B:$AB,23,FALSE),"")</f>
        <v/>
      </c>
      <c r="K35" s="138" t="str">
        <f>IFERROR(IF(F35="","",VLOOKUP(DATE($Q$1,VLOOKUP($L$1,Daten!$P$2:$Q$13,2,FALSE),C35),Stundenaufzeichnung!$B:$AD,29,FALSE)),"")</f>
        <v/>
      </c>
      <c r="L35" s="139" t="str">
        <f>IFERROR(VLOOKUP(DATE($Q$1,VLOOKUP($L$1,Daten!$P$2:$Q$13,2,FALSE),C35),Stundenaufzeichnung!$B:$AB,25,FALSE),"")</f>
        <v/>
      </c>
      <c r="M35" s="140"/>
      <c r="N35" s="140"/>
      <c r="O35" s="141"/>
      <c r="P35" s="142"/>
      <c r="Q35" s="143"/>
      <c r="R35" s="144" t="str">
        <f>IFERROR(VLOOKUP(DATE($Q$1,VLOOKUP($L$1,Daten!$P$2:$Q$13,2,FALSE),C35),Stundenaufzeichnung!$B:$AD,27,FALSE),"")</f>
        <v/>
      </c>
    </row>
    <row r="36" spans="1:22" ht="20" customHeight="1">
      <c r="D36" s="66" t="s">
        <v>57</v>
      </c>
      <c r="I36" s="183" t="s">
        <v>58</v>
      </c>
      <c r="J36" s="184"/>
      <c r="K36" s="145">
        <f t="shared" ref="K36:R36" si="2">SUM(K5:K35)</f>
        <v>13.34</v>
      </c>
      <c r="L36" s="146">
        <f t="shared" si="2"/>
        <v>0</v>
      </c>
      <c r="M36" s="147">
        <f t="shared" si="2"/>
        <v>0</v>
      </c>
      <c r="N36" s="147">
        <f t="shared" si="2"/>
        <v>0</v>
      </c>
      <c r="O36" s="148">
        <f t="shared" si="2"/>
        <v>0</v>
      </c>
      <c r="P36" s="149">
        <f t="shared" si="2"/>
        <v>0</v>
      </c>
      <c r="Q36" s="150">
        <f t="shared" si="2"/>
        <v>0</v>
      </c>
      <c r="R36" s="151">
        <f t="shared" si="2"/>
        <v>0</v>
      </c>
    </row>
    <row r="37" spans="1:22">
      <c r="D37" s="66" t="s">
        <v>57</v>
      </c>
      <c r="I37" s="186"/>
      <c r="J37" s="186"/>
      <c r="K37" s="74"/>
      <c r="L37" s="75"/>
      <c r="M37" s="75"/>
      <c r="N37" s="75"/>
      <c r="O37" s="75"/>
      <c r="P37" s="75"/>
      <c r="Q37" s="75"/>
      <c r="R37" s="75"/>
    </row>
    <row r="38" spans="1:22" ht="30.75" customHeight="1">
      <c r="C38" s="187" t="s">
        <v>192</v>
      </c>
      <c r="D38" s="187"/>
      <c r="E38" s="187"/>
      <c r="F38" s="188">
        <f>IFERROR(VLOOKUP("Summen "&amp;L1,Stundenaufzeichnung!$B:$AD,24,FALSE),"")</f>
        <v>0</v>
      </c>
      <c r="G38" s="188"/>
      <c r="H38" s="152" t="s">
        <v>59</v>
      </c>
      <c r="I38" s="189" t="str">
        <f>IFERROR(VLOOKUP("Summen "&amp;L1,Stundenaufzeichnung!$B:$AD,14,FALSE),"")</f>
        <v/>
      </c>
      <c r="J38" s="189"/>
      <c r="K38" s="189"/>
      <c r="M38" s="176"/>
      <c r="N38" s="177"/>
      <c r="O38" s="177"/>
      <c r="P38" s="177"/>
      <c r="Q38" s="177"/>
      <c r="R38" s="177"/>
    </row>
    <row r="39" spans="1:22" ht="30.75" customHeight="1">
      <c r="C39" s="190" t="s">
        <v>60</v>
      </c>
      <c r="D39" s="191"/>
      <c r="E39" s="192"/>
      <c r="F39" s="193">
        <f>IFERROR(VLOOKUP("Summen "&amp;L1,Stundenaufzeichnung!$B:$AD,28,FALSE)*Datenblatt!$B$7,"")</f>
        <v>13.34</v>
      </c>
      <c r="G39" s="194"/>
      <c r="H39" s="76" t="s">
        <v>61</v>
      </c>
      <c r="I39" s="195" t="str">
        <f>IFERROR(IF(VLOOKUP("Anzahl "&amp;L1,Stundenaufzeichnung!$B:$AD,11,FALSE)&lt;1,"",_xlfn.CONCAT(VLOOKUP("Anzahl "&amp;L1,Stundenaufzeichnung!$B:$AD,11,FALSE)," Tag/Tage; ", VLOOKUP("Anzahl "&amp;L1,Stundenaufzeichnung!$B:$AD,11,FALSE)*Datenblatt!$B$7," Stunden")),"")</f>
        <v/>
      </c>
      <c r="J39" s="196"/>
      <c r="K39" s="197"/>
      <c r="M39" s="177"/>
      <c r="N39" s="177"/>
      <c r="O39" s="177"/>
      <c r="P39" s="177"/>
      <c r="Q39" s="177"/>
      <c r="R39" s="177"/>
      <c r="S39" s="77"/>
      <c r="V39" s="78"/>
    </row>
    <row r="40" spans="1:22" ht="30.75" customHeight="1">
      <c r="C40" s="207" t="s">
        <v>62</v>
      </c>
      <c r="D40" s="208"/>
      <c r="E40" s="209"/>
      <c r="F40" s="210">
        <f>F38+F39</f>
        <v>13.34</v>
      </c>
      <c r="G40" s="211"/>
      <c r="H40" s="76" t="s">
        <v>63</v>
      </c>
      <c r="I40" s="212" t="str">
        <f>IFERROR(VLOOKUP("Summen "&amp;L1,Stundenaufzeichnung!$B:$AD,16,FALSE),"")</f>
        <v/>
      </c>
      <c r="J40" s="213"/>
      <c r="K40" s="214"/>
      <c r="M40" s="177"/>
      <c r="N40" s="177"/>
      <c r="O40" s="177"/>
      <c r="P40" s="177"/>
      <c r="Q40" s="177"/>
      <c r="R40" s="177"/>
    </row>
    <row r="41" spans="1:22" ht="30.75" customHeight="1">
      <c r="C41" s="215" t="s">
        <v>64</v>
      </c>
      <c r="D41" s="215"/>
      <c r="E41" s="215"/>
      <c r="F41" s="210">
        <f>IFERROR(VLOOKUP("Anzahl "&amp;L1,Stundenaufzeichnung!$B:$AD,26,FALSE),"")</f>
        <v>0</v>
      </c>
      <c r="G41" s="211"/>
      <c r="H41" s="76" t="s">
        <v>65</v>
      </c>
      <c r="I41" s="216" t="str">
        <f>IFERROR(IF(VLOOKUP("Anzahl "&amp;L1,Stundenaufzeichnung!$B:$AD,12,FALSE)&lt;1,"",_xlfn.CONCAT(VLOOKUP("Anzahl "&amp;L1,Stundenaufzeichnung!$B:$AD,12,FALSE)," Tag/Tage; ", VLOOKUP("Anzahl "&amp;L1,Stundenaufzeichnung!$B:$AD,12,FALSE)*Datenblatt!$B$7," Stunden")),"")</f>
        <v/>
      </c>
      <c r="J41" s="216"/>
      <c r="K41" s="216"/>
      <c r="L41" s="79"/>
      <c r="M41" s="177"/>
      <c r="N41" s="177"/>
      <c r="O41" s="177"/>
      <c r="P41" s="177"/>
      <c r="Q41" s="177"/>
      <c r="R41" s="177"/>
    </row>
    <row r="42" spans="1:22" ht="30.75" customHeight="1">
      <c r="C42" s="215" t="s">
        <v>66</v>
      </c>
      <c r="D42" s="215"/>
      <c r="E42" s="215"/>
      <c r="F42" s="210">
        <f>IFERROR(VLOOKUP("Summen "&amp;L1,Stundenaufzeichnung!$B:$AD,26,FALSE),"")</f>
        <v>0</v>
      </c>
      <c r="G42" s="211"/>
      <c r="H42" s="76" t="s">
        <v>67</v>
      </c>
      <c r="I42" s="216"/>
      <c r="J42" s="216"/>
      <c r="K42" s="216"/>
      <c r="L42" s="80"/>
      <c r="M42" s="177"/>
      <c r="N42" s="177"/>
      <c r="O42" s="177"/>
      <c r="P42" s="177"/>
      <c r="Q42" s="177"/>
      <c r="R42" s="177"/>
    </row>
    <row r="43" spans="1:22" ht="30.75" customHeight="1">
      <c r="C43" s="198" t="s">
        <v>68</v>
      </c>
      <c r="D43" s="198"/>
      <c r="E43" s="198"/>
      <c r="F43" s="204">
        <f>IFERROR(VLOOKUP("Summen "&amp;L1,Stundenaufzeichnung!$B:$AD,27,FALSE),"")</f>
        <v>0</v>
      </c>
      <c r="G43" s="205"/>
      <c r="H43" s="153" t="s">
        <v>69</v>
      </c>
      <c r="I43" s="206"/>
      <c r="J43" s="206"/>
      <c r="K43" s="206"/>
      <c r="L43" s="80"/>
      <c r="M43" s="177"/>
      <c r="N43" s="177"/>
      <c r="O43" s="177"/>
      <c r="P43" s="177"/>
      <c r="Q43" s="177"/>
      <c r="R43" s="177"/>
    </row>
  </sheetData>
  <mergeCells count="64">
    <mergeCell ref="F43:G43"/>
    <mergeCell ref="I43:K43"/>
    <mergeCell ref="C40:E40"/>
    <mergeCell ref="F40:G40"/>
    <mergeCell ref="I40:K40"/>
    <mergeCell ref="C41:E41"/>
    <mergeCell ref="F41:G41"/>
    <mergeCell ref="I41:K41"/>
    <mergeCell ref="C42:E42"/>
    <mergeCell ref="F42:G42"/>
    <mergeCell ref="I42:K42"/>
    <mergeCell ref="F1:J1"/>
    <mergeCell ref="L1:O1"/>
    <mergeCell ref="Q1:R1"/>
    <mergeCell ref="J3:J4"/>
    <mergeCell ref="K3:K4"/>
    <mergeCell ref="M38:R43"/>
    <mergeCell ref="C3:C4"/>
    <mergeCell ref="D3:E3"/>
    <mergeCell ref="I3:I4"/>
    <mergeCell ref="I36:J36"/>
    <mergeCell ref="L3:O3"/>
    <mergeCell ref="P3:P4"/>
    <mergeCell ref="Q3:R3"/>
    <mergeCell ref="I37:J37"/>
    <mergeCell ref="C38:E38"/>
    <mergeCell ref="F38:G38"/>
    <mergeCell ref="I38:K38"/>
    <mergeCell ref="C39:E39"/>
    <mergeCell ref="F39:G39"/>
    <mergeCell ref="I39:K39"/>
    <mergeCell ref="C43:E43"/>
    <mergeCell ref="F5:H5"/>
    <mergeCell ref="F3:H4"/>
    <mergeCell ref="F6:H6"/>
    <mergeCell ref="F35:H35"/>
    <mergeCell ref="F34:H34"/>
    <mergeCell ref="F33:H33"/>
    <mergeCell ref="F32:H32"/>
    <mergeCell ref="F31:H31"/>
    <mergeCell ref="F30:H30"/>
    <mergeCell ref="F29:H29"/>
    <mergeCell ref="F28:H28"/>
    <mergeCell ref="F27:H27"/>
    <mergeCell ref="F26:H26"/>
    <mergeCell ref="F25:H25"/>
    <mergeCell ref="F24:H24"/>
    <mergeCell ref="F23:H23"/>
    <mergeCell ref="F22:H22"/>
    <mergeCell ref="F21:H21"/>
    <mergeCell ref="F20:H20"/>
    <mergeCell ref="F19:H19"/>
    <mergeCell ref="F18:H18"/>
    <mergeCell ref="F17:H17"/>
    <mergeCell ref="F16:H16"/>
    <mergeCell ref="F15:H15"/>
    <mergeCell ref="F14:H14"/>
    <mergeCell ref="F13:H13"/>
    <mergeCell ref="F7:H7"/>
    <mergeCell ref="F12:H12"/>
    <mergeCell ref="F11:H11"/>
    <mergeCell ref="F10:H10"/>
    <mergeCell ref="F9:H9"/>
    <mergeCell ref="F8:H8"/>
  </mergeCells>
  <pageMargins left="0.70866141732283472" right="0.70866141732283472" top="0.78740157480314965" bottom="0.78740157480314965" header="0.31496062992125984" footer="0.31496062992125984"/>
  <pageSetup paperSize="9" scale="7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D10540-5B64-426E-A09A-399739F2BCF7}">
          <x14:formula1>
            <xm:f>Daten!$P:$P</xm:f>
          </x14:formula1>
          <xm:sqref>L1:O1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921B-B9D6-44C5-90F8-5B743B5E46FD}">
  <dimension ref="A1:AF467"/>
  <sheetViews>
    <sheetView topLeftCell="B1" zoomScale="115" zoomScaleNormal="115" zoomScalePageLayoutView="115" workbookViewId="0">
      <selection activeCell="AG6" sqref="AG6"/>
    </sheetView>
  </sheetViews>
  <sheetFormatPr defaultColWidth="10.90625" defaultRowHeight="14.5"/>
  <cols>
    <col min="1" max="1" width="2.7265625" hidden="1" customWidth="1"/>
    <col min="2" max="2" width="26.7265625" bestFit="1" customWidth="1"/>
    <col min="3" max="3" width="21.7265625" style="5" hidden="1" customWidth="1"/>
    <col min="4" max="4" width="19.08984375" style="5" hidden="1" customWidth="1"/>
    <col min="5" max="5" width="4.1796875" hidden="1" customWidth="1"/>
    <col min="6" max="6" width="6.81640625" hidden="1" customWidth="1"/>
    <col min="7" max="7" width="8.81640625" style="5" hidden="1" customWidth="1"/>
    <col min="8" max="8" width="6.81640625" hidden="1" customWidth="1"/>
    <col min="9" max="9" width="13.81640625" bestFit="1" customWidth="1"/>
    <col min="10" max="10" width="16.90625" style="5" customWidth="1"/>
    <col min="11" max="11" width="6.453125" style="8" customWidth="1"/>
    <col min="12" max="12" width="11.7265625" style="8" customWidth="1"/>
    <col min="13" max="13" width="6.453125" style="8" customWidth="1"/>
    <col min="14" max="15" width="12.81640625" style="8" hidden="1" customWidth="1"/>
    <col min="16" max="16" width="11.453125" style="8" hidden="1" customWidth="1"/>
    <col min="17" max="17" width="16.54296875" style="8" hidden="1" customWidth="1"/>
    <col min="18" max="18" width="14.54296875" style="8" customWidth="1"/>
    <col min="19" max="19" width="12" style="8" customWidth="1"/>
    <col min="20" max="20" width="5.453125" style="8" customWidth="1"/>
    <col min="21" max="26" width="12.54296875" style="8" customWidth="1"/>
    <col min="27" max="28" width="11.453125" customWidth="1"/>
    <col min="29" max="29" width="15.1796875" style="5" customWidth="1"/>
    <col min="30" max="30" width="11.453125" style="5" customWidth="1"/>
    <col min="31" max="31" width="10.90625" hidden="1" customWidth="1"/>
    <col min="32" max="32" width="21.7265625" customWidth="1"/>
  </cols>
  <sheetData>
    <row r="1" spans="1:32" ht="18.5">
      <c r="B1" s="33" t="s">
        <v>95</v>
      </c>
      <c r="C1" s="33"/>
      <c r="D1" s="33"/>
      <c r="E1" s="23"/>
      <c r="F1" s="23"/>
      <c r="G1" s="23"/>
      <c r="H1" s="23"/>
      <c r="I1" s="217" t="str">
        <f>Datenblatt!$B$4</f>
        <v>Dummy Name</v>
      </c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8" t="str">
        <f>TEXT(B4,"MMMM JJJJ")</f>
        <v>Jänner 2022</v>
      </c>
      <c r="U1" s="218"/>
      <c r="V1" s="218"/>
      <c r="W1" s="218"/>
    </row>
    <row r="2" spans="1:32" ht="15" customHeight="1">
      <c r="I2" s="2"/>
      <c r="J2" s="2"/>
      <c r="K2" s="13"/>
      <c r="L2" s="13"/>
      <c r="M2" s="13"/>
      <c r="N2" s="13"/>
      <c r="O2" s="13"/>
      <c r="P2" s="13"/>
      <c r="Q2" s="13"/>
      <c r="R2" s="13"/>
      <c r="S2" s="13"/>
      <c r="T2" s="221" t="s">
        <v>43</v>
      </c>
      <c r="U2" s="221"/>
      <c r="V2" s="221" t="s">
        <v>45</v>
      </c>
      <c r="W2" s="221" t="s">
        <v>116</v>
      </c>
      <c r="X2" s="221" t="s">
        <v>11</v>
      </c>
      <c r="Y2" s="219" t="s">
        <v>194</v>
      </c>
      <c r="Z2" s="219" t="s">
        <v>7</v>
      </c>
      <c r="AA2" s="220" t="s">
        <v>49</v>
      </c>
      <c r="AB2" s="220"/>
      <c r="AC2" s="24"/>
      <c r="AD2" s="24"/>
    </row>
    <row r="3" spans="1:32" ht="15" customHeight="1">
      <c r="B3" s="8"/>
      <c r="C3" s="8"/>
      <c r="D3" s="8" t="s">
        <v>161</v>
      </c>
      <c r="E3" s="8"/>
      <c r="F3" s="8">
        <f>VLOOKUP(Datenblatt!$B$8,Datenblatt!$J:$K,2,FALSE)</f>
        <v>4</v>
      </c>
      <c r="G3" s="8" t="s">
        <v>113</v>
      </c>
      <c r="H3" s="8"/>
      <c r="I3" s="12" t="s">
        <v>92</v>
      </c>
      <c r="J3" s="115" t="s">
        <v>12</v>
      </c>
      <c r="K3" s="12" t="s">
        <v>94</v>
      </c>
      <c r="L3" s="12" t="s">
        <v>85</v>
      </c>
      <c r="M3" s="12" t="s">
        <v>88</v>
      </c>
      <c r="N3" s="12" t="s">
        <v>117</v>
      </c>
      <c r="O3" s="12" t="s">
        <v>117</v>
      </c>
      <c r="P3" s="12" t="s">
        <v>118</v>
      </c>
      <c r="Q3" s="12" t="s">
        <v>118</v>
      </c>
      <c r="R3" s="12" t="s">
        <v>112</v>
      </c>
      <c r="S3" s="12" t="s">
        <v>115</v>
      </c>
      <c r="T3" s="15" t="s">
        <v>51</v>
      </c>
      <c r="U3" s="15" t="s">
        <v>50</v>
      </c>
      <c r="V3" s="222"/>
      <c r="W3" s="222"/>
      <c r="X3" s="222"/>
      <c r="Y3" s="219"/>
      <c r="Z3" s="219" t="s">
        <v>7</v>
      </c>
      <c r="AA3" s="21">
        <v>0.5</v>
      </c>
      <c r="AB3" s="16" t="s">
        <v>114</v>
      </c>
      <c r="AC3" s="16" t="s">
        <v>131</v>
      </c>
      <c r="AD3" s="16" t="s">
        <v>131</v>
      </c>
      <c r="AE3" s="128" t="s">
        <v>195</v>
      </c>
      <c r="AF3" s="16" t="s">
        <v>198</v>
      </c>
    </row>
    <row r="4" spans="1:32" s="9" customFormat="1" ht="13">
      <c r="A4" s="9">
        <v>1</v>
      </c>
      <c r="B4" s="6">
        <f>DATE(Datenblatt!$B$3,A4,1)</f>
        <v>44562</v>
      </c>
      <c r="C4" s="45">
        <f>SMALL(Daten!W:W,COUNTIF(Daten!W:W,"&lt;"&amp;Stundenaufzeichnung!B4+1))</f>
        <v>44317</v>
      </c>
      <c r="D4" s="45" t="str">
        <f t="shared" ref="D4:D34" si="0">IF(J4="","",CONCATENATE(C4," ",J4))</f>
        <v/>
      </c>
      <c r="E4" s="8">
        <f t="shared" ref="E4:E34" si="1">IF(B4="","",WEEKDAY(B4,16))</f>
        <v>1</v>
      </c>
      <c r="F4" s="8">
        <f>MOD(E4+$F$3,7)+1</f>
        <v>6</v>
      </c>
      <c r="G4" s="8">
        <f>IF(B4="","",VLOOKUP(E4,Datenblatt!$L$2:$N$8,3,FALSE))</f>
        <v>0</v>
      </c>
      <c r="H4" s="8" t="str">
        <f>IF(OR(G4=1),"x",IF(I4="","","x"))</f>
        <v>x</v>
      </c>
      <c r="I4" s="11" t="str">
        <f>IFERROR(VLOOKUP(B4,Datenblatt!$E:$F,2,FALSE),"")</f>
        <v>Neujahr</v>
      </c>
      <c r="J4" s="113"/>
      <c r="K4" s="19">
        <f>IF(B4&lt;Datenblatt!$B$9,"",IF(B4="","",IF(G4=0,Datenblatt!$B$7,"")))</f>
        <v>6.67</v>
      </c>
      <c r="L4" s="19" t="str">
        <f>IF(AND(J4="Krankenstand",R4=""),K4,"")</f>
        <v/>
      </c>
      <c r="M4" s="124" t="str">
        <f>IF(AND(J4="Urlaub",R4=""),K4,"")</f>
        <v/>
      </c>
      <c r="N4" s="124" t="str">
        <f>IF(AND(L4=Datenblatt!$B$7,NOT(L3=Datenblatt!$B$7),NOT(L5=Datenblatt!$B$7)),"y",IF(AND(L4=Datenblatt!$B$7,L5=Datenblatt!$B$7,NOT(L3=Datenblatt!$B$7)),"a",IF(AND(L4=Datenblatt!$B$7,L3=Datenblatt!$B$7,NOT(L5=Datenblatt!$B$7)),"b","")))</f>
        <v/>
      </c>
      <c r="O4" s="19" t="str">
        <f>IF(N4="a",TEXT(B4,"TT.MM.")&amp;" - ",IF(OR(N4="b",N4="y"),TEXT(B4,"TT.MM.")&amp;"; ",""))</f>
        <v/>
      </c>
      <c r="P4" s="124" t="str">
        <f>IF(AND(M4=Datenblatt!$B$7,NOT(M3=Datenblatt!$B$7),NOT(M5=Datenblatt!$B$7)),"y",IF(AND(M4=Datenblatt!$B$7,M5=Datenblatt!$B$7,NOT(M3=Datenblatt!$B$7)),"a",IF(AND(M4=Datenblatt!$B$7,M3=Datenblatt!$B$7,NOT(M5=Datenblatt!$B$7)),"b","")))</f>
        <v/>
      </c>
      <c r="Q4" s="19" t="str">
        <f>IF(P4="a",TEXT(B4,"TT.MM.")&amp;" - ",IF(OR(P4="b",P4="y"),TEXT(B4,"TT.MM.")&amp;"; ",""))</f>
        <v/>
      </c>
      <c r="R4" s="124">
        <f>IF(I4="","",IF(AND(OR(J4="Krankenstand",J4="Urlaub",J4=""), AND(G4=0,NOT(I4=""))),Datenblatt!$B$7,""))</f>
        <v>6.67</v>
      </c>
      <c r="S4" s="19" t="str">
        <f>IF(OR(J4="Krankenstand",J4="Urlaub"),"",IF(J4="","",VLOOKUP(D4,Dienste!C:W,21,)))</f>
        <v/>
      </c>
      <c r="T4" s="18" t="str">
        <f>IF(OR(J4="Krankenstand",J4="Urlaub"),"",IF(J4="","",VLOOKUP(D4,Dienste!C:W,5,)))</f>
        <v/>
      </c>
      <c r="U4" s="18" t="str">
        <f>IF(OR(J4="Krankenstand",J4="Urlaub"),"",IF(J4="","",VLOOKUP(D4,Dienste!C:W,6,)))</f>
        <v/>
      </c>
      <c r="V4" s="18" t="str">
        <f>IF(OR(J4="Krankenstand",J4="Urlaub"),"",IF(J4="","",VLOOKUP(D4,Dienste!C:W,7,)))</f>
        <v/>
      </c>
      <c r="W4" s="18" t="str">
        <f>IF(OR(J4="Krankenstand",J4="Urlaub"),"",IF(J4="","",VLOOKUP(D4,Dienste!C:W,11,)))</f>
        <v/>
      </c>
      <c r="X4" s="18" t="str">
        <f>IF(OR(J4="Krankenstand",J4="Urlaub"),"",IF(J4="","",VLOOKUP(D4,Dienste!C:W,12,)))</f>
        <v/>
      </c>
      <c r="Y4" s="19" t="str">
        <f>IF(OR(J4="Krankenstand",J4="Urlaub"),"",IF(J4="","",VLOOKUP(D4,Dienste!C:W,14,)))</f>
        <v/>
      </c>
      <c r="Z4" s="20" t="str">
        <f>IF(OR(J4="Krankenstand",J4="Urlaub"),"",IF(J4="","",VLOOKUP(D4,Dienste!C:W,15,)))</f>
        <v/>
      </c>
      <c r="AA4" s="124" t="str">
        <f t="shared" ref="AA4:AA32" si="2">IF(OR(Y4="",NOT(AB4="")),"",IF(AND(Y4&lt;AE5,AE5&gt;0),Y4,IF(AE5&gt;0,AE5,"")))</f>
        <v/>
      </c>
      <c r="AB4" s="19" t="str">
        <f t="shared" ref="AB4:AB34" si="3">IF(I4="","",Y4)</f>
        <v/>
      </c>
      <c r="AC4" s="126" t="str">
        <f>_xlfn.CONCAT(_xlfn.CONCAT(IF(I4="","",_xlfn.CONCAT("FT: ",I4,IF(J4="","","; "))),IF(B4&lt;Datenblatt!$B$9,"",IF(B4="","",IF(NOT(J4=""),SUBSTITUTE(SUBSTITUTE(SUBSTITUTE(J4," mR","")," oR","")," O",""),"")))),IF(AF4="","",_xlfn.CONCAT(CHAR(10),"; ",AF4)))</f>
        <v>FT: Neujahr</v>
      </c>
      <c r="AD4" s="124">
        <f>IF(SUM(Y4,R4,M4,L4)&lt;=0,"",SUM(Y4,R4,M4,L4))</f>
        <v>6.67</v>
      </c>
      <c r="AE4" s="19">
        <f t="shared" ref="AE4:AE33" si="4">IF(OR(Y4="",NOT(AB4="")),AE5,AE5-Y4)</f>
        <v>0</v>
      </c>
      <c r="AF4" s="156"/>
    </row>
    <row r="5" spans="1:32" s="9" customFormat="1" ht="13">
      <c r="B5" s="6">
        <f t="shared" ref="B5:B31" si="5">B4+1</f>
        <v>44563</v>
      </c>
      <c r="C5" s="45">
        <f>SMALL(Daten!W:W,COUNTIF(Daten!W:W,"&lt;"&amp;Stundenaufzeichnung!B5+1))</f>
        <v>44317</v>
      </c>
      <c r="D5" s="45" t="str">
        <f t="shared" si="0"/>
        <v/>
      </c>
      <c r="E5" s="8">
        <f t="shared" si="1"/>
        <v>2</v>
      </c>
      <c r="F5" s="8">
        <f t="shared" ref="F5:F31" si="6">MOD(E5+$F$3,7)+1</f>
        <v>7</v>
      </c>
      <c r="G5" s="8">
        <f>IF(B5="","",VLOOKUP(E5,Datenblatt!$L$2:$N$8,3,FALSE))</f>
        <v>1</v>
      </c>
      <c r="H5" s="8" t="str">
        <f t="shared" ref="H5:H34" si="7">IF(OR(G5=1),"x",IF(I5="","","x"))</f>
        <v>x</v>
      </c>
      <c r="I5" s="11" t="str">
        <f>IFERROR(VLOOKUP(B5,Datenblatt!$E:$F,2,FALSE),"")</f>
        <v/>
      </c>
      <c r="J5" s="113"/>
      <c r="K5" s="19" t="str">
        <f>IF(B5&lt;Datenblatt!$B$9,"",IF(B5="","",IF(G5=0,Datenblatt!$B$7,"")))</f>
        <v/>
      </c>
      <c r="L5" s="19" t="str">
        <f t="shared" ref="L5:L34" si="8">IF(AND(J5="Krankenstand",R5=""),K5,"")</f>
        <v/>
      </c>
      <c r="M5" s="124" t="str">
        <f t="shared" ref="M5:M34" si="9">IF(AND(J5="Urlaub",R5=""),K5,"")</f>
        <v/>
      </c>
      <c r="N5" s="124" t="str">
        <f>IF(AND(L5=Datenblatt!$B$7,NOT(L4=Datenblatt!$B$7),NOT(L6=Datenblatt!$B$7)),"y",IF(AND(L5=Datenblatt!$B$7,L6=Datenblatt!$B$7,NOT(L4=Datenblatt!$B$7)),"a",IF(AND(L5=Datenblatt!$B$7,L4=Datenblatt!$B$7,NOT(L6=Datenblatt!$B$7)),"b","")))</f>
        <v/>
      </c>
      <c r="O5" s="19" t="str">
        <f t="shared" ref="O5:O33" si="10">IF(N5="a",TEXT(B5,"TT.MM.")&amp;" - ",IF(OR(N5="b",N5="y"),TEXT(B5,"TT.MM.")&amp;"; ",""))</f>
        <v/>
      </c>
      <c r="P5" s="124" t="str">
        <f>IF(AND(M5=Datenblatt!$B$7,NOT(M4=Datenblatt!$B$7),NOT(M6=Datenblatt!$B$7)),"y",IF(AND(M5=Datenblatt!$B$7,M6=Datenblatt!$B$7,NOT(M4=Datenblatt!$B$7)),"a",IF(AND(M5=Datenblatt!$B$7,M4=Datenblatt!$B$7,NOT(M6=Datenblatt!$B$7)),"b","")))</f>
        <v/>
      </c>
      <c r="Q5" s="19" t="str">
        <f t="shared" ref="Q5:Q33" si="11">IF(P5="a",TEXT(B5,"TT.MM.")&amp;" - ",IF(OR(P5="b",P5="y"),TEXT(B5,"TT.MM.")&amp;"; ",""))</f>
        <v/>
      </c>
      <c r="R5" s="124" t="str">
        <f>IF(I5="","",IF(AND(OR(J5="Krankenstand",J5="Urlaub",J5=""), AND(G5=0,NOT(I5=""))),Datenblatt!$B$7,""))</f>
        <v/>
      </c>
      <c r="S5" s="19" t="str">
        <f>IF(OR(J5="Krankenstand",J5="Urlaub"),"",IF(J5="","",VLOOKUP(D5,Dienste!C:W,21,)))</f>
        <v/>
      </c>
      <c r="T5" s="18" t="str">
        <f>IF(OR(J5="Krankenstand",J5="Urlaub"),"",IF(J5="","",VLOOKUP(D5,Dienste!C:W,5,)))</f>
        <v/>
      </c>
      <c r="U5" s="18" t="str">
        <f>IF(OR(J5="Krankenstand",J5="Urlaub"),"",IF(J5="","",VLOOKUP(D5,Dienste!C:W,6,)))</f>
        <v/>
      </c>
      <c r="V5" s="18" t="str">
        <f>IF(OR(J5="Krankenstand",J5="Urlaub"),"",IF(J5="","",VLOOKUP(D5,Dienste!C:W,7,)))</f>
        <v/>
      </c>
      <c r="W5" s="18" t="str">
        <f>IF(OR(J5="Krankenstand",J5="Urlaub"),"",IF(J5="","",VLOOKUP(D5,Dienste!C:W,11,)))</f>
        <v/>
      </c>
      <c r="X5" s="18" t="str">
        <f>IF(OR(J5="Krankenstand",J5="Urlaub"),"",IF(J5="","",VLOOKUP(D5,Dienste!C:W,12,)))</f>
        <v/>
      </c>
      <c r="Y5" s="19" t="str">
        <f>IF(OR(J5="Krankenstand",J5="Urlaub"),"",IF(J5="","",VLOOKUP(D5,Dienste!C:W,14,)))</f>
        <v/>
      </c>
      <c r="Z5" s="20" t="str">
        <f>IF(OR(J5="Krankenstand",J5="Urlaub"),"",IF(J5="","",VLOOKUP(D5,Dienste!C:W,15,)))</f>
        <v/>
      </c>
      <c r="AA5" s="124" t="str">
        <f t="shared" si="2"/>
        <v/>
      </c>
      <c r="AB5" s="19" t="str">
        <f t="shared" si="3"/>
        <v/>
      </c>
      <c r="AC5" s="126" t="str">
        <f>_xlfn.CONCAT(_xlfn.CONCAT(IF(I5="","",_xlfn.CONCAT("FT: ",I5,IF(J5="","","; "))),IF(B5&lt;Datenblatt!$B$9,"",IF(B5="","",IF(NOT(J5=""),SUBSTITUTE(SUBSTITUTE(SUBSTITUTE(J5," mR","")," oR","")," O",""),"")))),IF(AF5="","",_xlfn.CONCAT(CHAR(10),"; ",AF5)))</f>
        <v/>
      </c>
      <c r="AD5" s="124" t="str">
        <f t="shared" ref="AD5:AD34" si="12">IF(SUM(Y5,R5,M5,L5)&lt;=0,"",SUM(Y5,R5,M5,L5))</f>
        <v/>
      </c>
      <c r="AE5" s="19">
        <f t="shared" si="4"/>
        <v>0</v>
      </c>
      <c r="AF5" s="156"/>
    </row>
    <row r="6" spans="1:32" s="9" customFormat="1" ht="13">
      <c r="B6" s="6">
        <f t="shared" si="5"/>
        <v>44564</v>
      </c>
      <c r="C6" s="45">
        <f>SMALL(Daten!W:W,COUNTIF(Daten!W:W,"&lt;"&amp;Stundenaufzeichnung!B6+1))</f>
        <v>44317</v>
      </c>
      <c r="D6" s="45" t="str">
        <f t="shared" si="0"/>
        <v/>
      </c>
      <c r="E6" s="8">
        <f t="shared" si="1"/>
        <v>3</v>
      </c>
      <c r="F6" s="8">
        <f t="shared" si="6"/>
        <v>1</v>
      </c>
      <c r="G6" s="8">
        <f>IF(B6="","",VLOOKUP(E6,Datenblatt!$L$2:$N$8,3,FALSE))</f>
        <v>0</v>
      </c>
      <c r="H6" s="8" t="str">
        <f t="shared" si="7"/>
        <v/>
      </c>
      <c r="I6" s="11" t="str">
        <f>IFERROR(VLOOKUP(B6,Datenblatt!$E:$F,2,FALSE),"")</f>
        <v/>
      </c>
      <c r="J6" s="113"/>
      <c r="K6" s="19">
        <f>IF(B6&lt;Datenblatt!$B$9,"",IF(B6="","",IF(G6=0,Datenblatt!$B$7,"")))</f>
        <v>6.67</v>
      </c>
      <c r="L6" s="19" t="str">
        <f t="shared" si="8"/>
        <v/>
      </c>
      <c r="M6" s="124" t="str">
        <f t="shared" si="9"/>
        <v/>
      </c>
      <c r="N6" s="124" t="str">
        <f>IF(AND(L6=Datenblatt!$B$7,NOT(L5=Datenblatt!$B$7),NOT(L7=Datenblatt!$B$7)),"y",IF(AND(L6=Datenblatt!$B$7,L7=Datenblatt!$B$7,NOT(L5=Datenblatt!$B$7)),"a",IF(AND(L6=Datenblatt!$B$7,L5=Datenblatt!$B$7,NOT(L7=Datenblatt!$B$7)),"b","")))</f>
        <v/>
      </c>
      <c r="O6" s="19" t="str">
        <f t="shared" si="10"/>
        <v/>
      </c>
      <c r="P6" s="124" t="str">
        <f>IF(AND(M6=Datenblatt!$B$7,NOT(M5=Datenblatt!$B$7),NOT(M7=Datenblatt!$B$7)),"y",IF(AND(M6=Datenblatt!$B$7,M7=Datenblatt!$B$7,NOT(M5=Datenblatt!$B$7)),"a",IF(AND(M6=Datenblatt!$B$7,M5=Datenblatt!$B$7,NOT(M7=Datenblatt!$B$7)),"b","")))</f>
        <v/>
      </c>
      <c r="Q6" s="19" t="str">
        <f t="shared" si="11"/>
        <v/>
      </c>
      <c r="R6" s="124" t="str">
        <f>IF(I6="","",IF(AND(OR(J6="Krankenstand",J6="Urlaub",J6=""), AND(G6=0,NOT(I6=""))),Datenblatt!$B$7,""))</f>
        <v/>
      </c>
      <c r="S6" s="19" t="str">
        <f>IF(OR(J6="Krankenstand",J6="Urlaub"),"",IF(J6="","",VLOOKUP(D6,Dienste!C:W,21,)))</f>
        <v/>
      </c>
      <c r="T6" s="18" t="str">
        <f>IF(OR(J6="Krankenstand",J6="Urlaub"),"",IF(J6="","",VLOOKUP(D6,Dienste!C:W,5,)))</f>
        <v/>
      </c>
      <c r="U6" s="18" t="str">
        <f>IF(OR(J6="Krankenstand",J6="Urlaub"),"",IF(J6="","",VLOOKUP(D6,Dienste!C:W,6,)))</f>
        <v/>
      </c>
      <c r="V6" s="18" t="str">
        <f>IF(OR(J6="Krankenstand",J6="Urlaub"),"",IF(J6="","",VLOOKUP(D6,Dienste!C:W,7,)))</f>
        <v/>
      </c>
      <c r="W6" s="18" t="str">
        <f>IF(OR(J6="Krankenstand",J6="Urlaub"),"",IF(J6="","",VLOOKUP(D6,Dienste!C:W,11,)))</f>
        <v/>
      </c>
      <c r="X6" s="18" t="str">
        <f>IF(OR(J6="Krankenstand",J6="Urlaub"),"",IF(J6="","",VLOOKUP(D6,Dienste!C:W,12,)))</f>
        <v/>
      </c>
      <c r="Y6" s="19" t="str">
        <f>IF(OR(J6="Krankenstand",J6="Urlaub"),"",IF(J6="","",VLOOKUP(D6,Dienste!C:W,14,)))</f>
        <v/>
      </c>
      <c r="Z6" s="20" t="str">
        <f>IF(OR(J6="Krankenstand",J6="Urlaub"),"",IF(J6="","",VLOOKUP(D6,Dienste!C:W,15,)))</f>
        <v/>
      </c>
      <c r="AA6" s="124" t="str">
        <f t="shared" si="2"/>
        <v/>
      </c>
      <c r="AB6" s="19" t="str">
        <f t="shared" si="3"/>
        <v/>
      </c>
      <c r="AC6" s="126" t="str">
        <f>_xlfn.CONCAT(_xlfn.CONCAT(IF(I6="","",_xlfn.CONCAT("FT: ",I6,IF(J6="","","; "))),IF(B6&lt;Datenblatt!$B$9,"",IF(B6="","",IF(NOT(J6=""),SUBSTITUTE(SUBSTITUTE(SUBSTITUTE(J6," mR","")," oR","")," O",""),"")))),IF(AF6="","",_xlfn.CONCAT(CHAR(10),"; ",AF6)))</f>
        <v/>
      </c>
      <c r="AD6" s="124" t="str">
        <f t="shared" si="12"/>
        <v/>
      </c>
      <c r="AE6" s="19">
        <f t="shared" si="4"/>
        <v>0</v>
      </c>
      <c r="AF6" s="156"/>
    </row>
    <row r="7" spans="1:32" s="9" customFormat="1" ht="13">
      <c r="B7" s="6">
        <f t="shared" si="5"/>
        <v>44565</v>
      </c>
      <c r="C7" s="45">
        <f>SMALL(Daten!W:W,COUNTIF(Daten!W:W,"&lt;"&amp;Stundenaufzeichnung!B7+1))</f>
        <v>44317</v>
      </c>
      <c r="D7" s="45" t="str">
        <f t="shared" si="0"/>
        <v/>
      </c>
      <c r="E7" s="8">
        <f t="shared" si="1"/>
        <v>4</v>
      </c>
      <c r="F7" s="8">
        <f t="shared" si="6"/>
        <v>2</v>
      </c>
      <c r="G7" s="8">
        <f>IF(B7="","",VLOOKUP(E7,Datenblatt!$L$2:$N$8,3,FALSE))</f>
        <v>0</v>
      </c>
      <c r="H7" s="8" t="str">
        <f t="shared" si="7"/>
        <v/>
      </c>
      <c r="I7" s="11" t="str">
        <f>IFERROR(VLOOKUP(B7,Datenblatt!$E:$F,2,FALSE),"")</f>
        <v/>
      </c>
      <c r="J7" s="113"/>
      <c r="K7" s="19">
        <f>IF(B7&lt;Datenblatt!$B$9,"",IF(B7="","",IF(G7=0,Datenblatt!$B$7,"")))</f>
        <v>6.67</v>
      </c>
      <c r="L7" s="19" t="str">
        <f t="shared" si="8"/>
        <v/>
      </c>
      <c r="M7" s="124" t="str">
        <f t="shared" si="9"/>
        <v/>
      </c>
      <c r="N7" s="124" t="str">
        <f>IF(AND(L7=Datenblatt!$B$7,NOT(L6=Datenblatt!$B$7),NOT(L8=Datenblatt!$B$7)),"y",IF(AND(L7=Datenblatt!$B$7,L8=Datenblatt!$B$7,NOT(L6=Datenblatt!$B$7)),"a",IF(AND(L7=Datenblatt!$B$7,L6=Datenblatt!$B$7,NOT(L8=Datenblatt!$B$7)),"b","")))</f>
        <v/>
      </c>
      <c r="O7" s="19" t="str">
        <f t="shared" si="10"/>
        <v/>
      </c>
      <c r="P7" s="124" t="str">
        <f>IF(AND(M7=Datenblatt!$B$7,NOT(M6=Datenblatt!$B$7),NOT(M8=Datenblatt!$B$7)),"y",IF(AND(M7=Datenblatt!$B$7,M8=Datenblatt!$B$7,NOT(M6=Datenblatt!$B$7)),"a",IF(AND(M7=Datenblatt!$B$7,M6=Datenblatt!$B$7,NOT(M8=Datenblatt!$B$7)),"b","")))</f>
        <v/>
      </c>
      <c r="Q7" s="19" t="str">
        <f t="shared" si="11"/>
        <v/>
      </c>
      <c r="R7" s="124" t="str">
        <f>IF(I7="","",IF(AND(OR(J7="Krankenstand",J7="Urlaub",J7=""), AND(G7=0,NOT(I7=""))),Datenblatt!$B$7,""))</f>
        <v/>
      </c>
      <c r="S7" s="19" t="str">
        <f>IF(OR(J7="Krankenstand",J7="Urlaub"),"",IF(J7="","",VLOOKUP(D7,Dienste!C:W,21,)))</f>
        <v/>
      </c>
      <c r="T7" s="18" t="str">
        <f>IF(OR(J7="Krankenstand",J7="Urlaub"),"",IF(J7="","",VLOOKUP(D7,Dienste!C:W,5,)))</f>
        <v/>
      </c>
      <c r="U7" s="18" t="str">
        <f>IF(OR(J7="Krankenstand",J7="Urlaub"),"",IF(J7="","",VLOOKUP(D7,Dienste!C:W,6,)))</f>
        <v/>
      </c>
      <c r="V7" s="18" t="str">
        <f>IF(OR(J7="Krankenstand",J7="Urlaub"),"",IF(J7="","",VLOOKUP(D7,Dienste!C:W,7,)))</f>
        <v/>
      </c>
      <c r="W7" s="18" t="str">
        <f>IF(OR(J7="Krankenstand",J7="Urlaub"),"",IF(J7="","",VLOOKUP(D7,Dienste!C:W,11,)))</f>
        <v/>
      </c>
      <c r="X7" s="18" t="str">
        <f>IF(OR(J7="Krankenstand",J7="Urlaub"),"",IF(J7="","",VLOOKUP(D7,Dienste!C:W,12,)))</f>
        <v/>
      </c>
      <c r="Y7" s="19" t="str">
        <f>IF(OR(J7="Krankenstand",J7="Urlaub"),"",IF(J7="","",VLOOKUP(D7,Dienste!C:W,14,)))</f>
        <v/>
      </c>
      <c r="Z7" s="20" t="str">
        <f>IF(OR(J7="Krankenstand",J7="Urlaub"),"",IF(J7="","",VLOOKUP(D7,Dienste!C:W,15,)))</f>
        <v/>
      </c>
      <c r="AA7" s="124" t="str">
        <f t="shared" si="2"/>
        <v/>
      </c>
      <c r="AB7" s="19" t="str">
        <f t="shared" si="3"/>
        <v/>
      </c>
      <c r="AC7" s="126" t="str">
        <f>_xlfn.CONCAT(_xlfn.CONCAT(IF(I7="","",_xlfn.CONCAT("FT: ",I7,IF(J7="","","; "))),IF(B7&lt;Datenblatt!$B$9,"",IF(B7="","",IF(NOT(J7=""),SUBSTITUTE(SUBSTITUTE(SUBSTITUTE(J7," mR","")," oR","")," O",""),"")))),IF(AF7="","",_xlfn.CONCAT(CHAR(10),"; ",AF7)))</f>
        <v/>
      </c>
      <c r="AD7" s="124" t="str">
        <f t="shared" si="12"/>
        <v/>
      </c>
      <c r="AE7" s="19">
        <f t="shared" si="4"/>
        <v>0</v>
      </c>
      <c r="AF7" s="156"/>
    </row>
    <row r="8" spans="1:32" s="9" customFormat="1" ht="13">
      <c r="B8" s="6">
        <f t="shared" si="5"/>
        <v>44566</v>
      </c>
      <c r="C8" s="45">
        <f>SMALL(Daten!W:W,COUNTIF(Daten!W:W,"&lt;"&amp;Stundenaufzeichnung!B8+1))</f>
        <v>44317</v>
      </c>
      <c r="D8" s="45" t="str">
        <f t="shared" si="0"/>
        <v/>
      </c>
      <c r="E8" s="8">
        <f t="shared" si="1"/>
        <v>5</v>
      </c>
      <c r="F8" s="8">
        <f t="shared" si="6"/>
        <v>3</v>
      </c>
      <c r="G8" s="8">
        <f>IF(B8="","",VLOOKUP(E8,Datenblatt!$L$2:$N$8,3,FALSE))</f>
        <v>0</v>
      </c>
      <c r="H8" s="8" t="str">
        <f t="shared" si="7"/>
        <v/>
      </c>
      <c r="I8" s="11" t="str">
        <f>IFERROR(VLOOKUP(B8,Datenblatt!$E:$F,2,FALSE),"")</f>
        <v/>
      </c>
      <c r="J8" s="113"/>
      <c r="K8" s="19">
        <f>IF(B8&lt;Datenblatt!$B$9,"",IF(B8="","",IF(G8=0,Datenblatt!$B$7,"")))</f>
        <v>6.67</v>
      </c>
      <c r="L8" s="19" t="str">
        <f t="shared" si="8"/>
        <v/>
      </c>
      <c r="M8" s="124" t="str">
        <f t="shared" si="9"/>
        <v/>
      </c>
      <c r="N8" s="124" t="str">
        <f>IF(AND(L8=Datenblatt!$B$7,NOT(L7=Datenblatt!$B$7),NOT(L9=Datenblatt!$B$7)),"y",IF(AND(L8=Datenblatt!$B$7,L9=Datenblatt!$B$7,NOT(L7=Datenblatt!$B$7)),"a",IF(AND(L8=Datenblatt!$B$7,L7=Datenblatt!$B$7,NOT(L9=Datenblatt!$B$7)),"b","")))</f>
        <v/>
      </c>
      <c r="O8" s="19" t="str">
        <f t="shared" si="10"/>
        <v/>
      </c>
      <c r="P8" s="124" t="str">
        <f>IF(AND(M8=Datenblatt!$B$7,NOT(M7=Datenblatt!$B$7),NOT(M9=Datenblatt!$B$7)),"y",IF(AND(M8=Datenblatt!$B$7,M9=Datenblatt!$B$7,NOT(M7=Datenblatt!$B$7)),"a",IF(AND(M8=Datenblatt!$B$7,M7=Datenblatt!$B$7,NOT(M9=Datenblatt!$B$7)),"b","")))</f>
        <v/>
      </c>
      <c r="Q8" s="19" t="str">
        <f t="shared" si="11"/>
        <v/>
      </c>
      <c r="R8" s="124" t="str">
        <f>IF(I8="","",IF(AND(OR(J8="Krankenstand",J8="Urlaub",J8=""), AND(G8=0,NOT(I8=""))),Datenblatt!$B$7,""))</f>
        <v/>
      </c>
      <c r="S8" s="19" t="str">
        <f>IF(OR(J8="Krankenstand",J8="Urlaub"),"",IF(J8="","",VLOOKUP(D8,Dienste!C:W,21,)))</f>
        <v/>
      </c>
      <c r="T8" s="18" t="str">
        <f>IF(OR(J8="Krankenstand",J8="Urlaub"),"",IF(J8="","",VLOOKUP(D8,Dienste!C:W,5,)))</f>
        <v/>
      </c>
      <c r="U8" s="18" t="str">
        <f>IF(OR(J8="Krankenstand",J8="Urlaub"),"",IF(J8="","",VLOOKUP(D8,Dienste!C:W,6,)))</f>
        <v/>
      </c>
      <c r="V8" s="18" t="str">
        <f>IF(OR(J8="Krankenstand",J8="Urlaub"),"",IF(J8="","",VLOOKUP(D8,Dienste!C:W,7,)))</f>
        <v/>
      </c>
      <c r="W8" s="18" t="str">
        <f>IF(OR(J8="Krankenstand",J8="Urlaub"),"",IF(J8="","",VLOOKUP(D8,Dienste!C:W,11,)))</f>
        <v/>
      </c>
      <c r="X8" s="18" t="str">
        <f>IF(OR(J8="Krankenstand",J8="Urlaub"),"",IF(J8="","",VLOOKUP(D8,Dienste!C:W,12,)))</f>
        <v/>
      </c>
      <c r="Y8" s="19" t="str">
        <f>IF(OR(J8="Krankenstand",J8="Urlaub"),"",IF(J8="","",VLOOKUP(D8,Dienste!C:W,14,)))</f>
        <v/>
      </c>
      <c r="Z8" s="20" t="str">
        <f>IF(OR(J8="Krankenstand",J8="Urlaub"),"",IF(J8="","",VLOOKUP(D8,Dienste!C:W,15,)))</f>
        <v/>
      </c>
      <c r="AA8" s="124" t="str">
        <f t="shared" si="2"/>
        <v/>
      </c>
      <c r="AB8" s="19" t="str">
        <f t="shared" si="3"/>
        <v/>
      </c>
      <c r="AC8" s="126" t="str">
        <f>_xlfn.CONCAT(_xlfn.CONCAT(IF(I8="","",_xlfn.CONCAT("FT: ",I8,IF(J8="","","; "))),IF(B8&lt;Datenblatt!$B$9,"",IF(B8="","",IF(NOT(J8=""),SUBSTITUTE(SUBSTITUTE(SUBSTITUTE(J8," mR","")," oR","")," O",""),"")))),IF(AF8="","",_xlfn.CONCAT(CHAR(10),"; ",AF8)))</f>
        <v/>
      </c>
      <c r="AD8" s="124" t="str">
        <f t="shared" si="12"/>
        <v/>
      </c>
      <c r="AE8" s="19">
        <f t="shared" si="4"/>
        <v>0</v>
      </c>
      <c r="AF8" s="156"/>
    </row>
    <row r="9" spans="1:32" s="9" customFormat="1" ht="13">
      <c r="B9" s="6">
        <f t="shared" si="5"/>
        <v>44567</v>
      </c>
      <c r="C9" s="45">
        <f>SMALL(Daten!W:W,COUNTIF(Daten!W:W,"&lt;"&amp;Stundenaufzeichnung!B9+1))</f>
        <v>44317</v>
      </c>
      <c r="D9" s="45" t="str">
        <f t="shared" si="0"/>
        <v/>
      </c>
      <c r="E9" s="8">
        <f t="shared" si="1"/>
        <v>6</v>
      </c>
      <c r="F9" s="8">
        <f t="shared" si="6"/>
        <v>4</v>
      </c>
      <c r="G9" s="8">
        <f>IF(B9="","",VLOOKUP(E9,Datenblatt!$L$2:$N$8,3,FALSE))</f>
        <v>0</v>
      </c>
      <c r="H9" s="8" t="str">
        <f t="shared" si="7"/>
        <v>x</v>
      </c>
      <c r="I9" s="11" t="str">
        <f>IFERROR(VLOOKUP(B9,Datenblatt!$E:$F,2,FALSE),"")</f>
        <v>Heilige Drei Könige</v>
      </c>
      <c r="J9" s="113"/>
      <c r="K9" s="19">
        <f>IF(B9&lt;Datenblatt!$B$9,"",IF(B9="","",IF(G9=0,Datenblatt!$B$7,"")))</f>
        <v>6.67</v>
      </c>
      <c r="L9" s="19" t="str">
        <f t="shared" si="8"/>
        <v/>
      </c>
      <c r="M9" s="124" t="str">
        <f t="shared" si="9"/>
        <v/>
      </c>
      <c r="N9" s="124" t="str">
        <f>IF(AND(L9=Datenblatt!$B$7,NOT(L8=Datenblatt!$B$7),NOT(L10=Datenblatt!$B$7)),"y",IF(AND(L9=Datenblatt!$B$7,L10=Datenblatt!$B$7,NOT(L8=Datenblatt!$B$7)),"a",IF(AND(L9=Datenblatt!$B$7,L8=Datenblatt!$B$7,NOT(L10=Datenblatt!$B$7)),"b","")))</f>
        <v/>
      </c>
      <c r="O9" s="19" t="str">
        <f t="shared" si="10"/>
        <v/>
      </c>
      <c r="P9" s="124" t="str">
        <f>IF(AND(M9=Datenblatt!$B$7,NOT(M8=Datenblatt!$B$7),NOT(M10=Datenblatt!$B$7)),"y",IF(AND(M9=Datenblatt!$B$7,M10=Datenblatt!$B$7,NOT(M8=Datenblatt!$B$7)),"a",IF(AND(M9=Datenblatt!$B$7,M8=Datenblatt!$B$7,NOT(M10=Datenblatt!$B$7)),"b","")))</f>
        <v/>
      </c>
      <c r="Q9" s="19" t="str">
        <f t="shared" si="11"/>
        <v/>
      </c>
      <c r="R9" s="124">
        <f>IF(I9="","",IF(AND(OR(J9="Krankenstand",J9="Urlaub",J9=""), AND(G9=0,NOT(I9=""))),Datenblatt!$B$7,""))</f>
        <v>6.67</v>
      </c>
      <c r="S9" s="19" t="str">
        <f>IF(OR(J9="Krankenstand",J9="Urlaub"),"",IF(J9="","",VLOOKUP(D9,Dienste!C:W,21,)))</f>
        <v/>
      </c>
      <c r="T9" s="18" t="str">
        <f>IF(OR(J9="Krankenstand",J9="Urlaub"),"",IF(J9="","",VLOOKUP(D9,Dienste!C:W,5,)))</f>
        <v/>
      </c>
      <c r="U9" s="18" t="str">
        <f>IF(OR(J9="Krankenstand",J9="Urlaub"),"",IF(J9="","",VLOOKUP(D9,Dienste!C:W,6,)))</f>
        <v/>
      </c>
      <c r="V9" s="18" t="str">
        <f>IF(OR(J9="Krankenstand",J9="Urlaub"),"",IF(J9="","",VLOOKUP(D9,Dienste!C:W,7,)))</f>
        <v/>
      </c>
      <c r="W9" s="18" t="str">
        <f>IF(OR(J9="Krankenstand",J9="Urlaub"),"",IF(J9="","",VLOOKUP(D9,Dienste!C:W,11,)))</f>
        <v/>
      </c>
      <c r="X9" s="18" t="str">
        <f>IF(OR(J9="Krankenstand",J9="Urlaub"),"",IF(J9="","",VLOOKUP(D9,Dienste!C:W,12,)))</f>
        <v/>
      </c>
      <c r="Y9" s="19" t="str">
        <f>IF(OR(J9="Krankenstand",J9="Urlaub"),"",IF(J9="","",VLOOKUP(D9,Dienste!C:W,14,)))</f>
        <v/>
      </c>
      <c r="Z9" s="20" t="str">
        <f>IF(OR(J9="Krankenstand",J9="Urlaub"),"",IF(J9="","",VLOOKUP(D9,Dienste!C:W,15,)))</f>
        <v/>
      </c>
      <c r="AA9" s="124" t="str">
        <f t="shared" si="2"/>
        <v/>
      </c>
      <c r="AB9" s="19" t="str">
        <f t="shared" si="3"/>
        <v/>
      </c>
      <c r="AC9" s="126" t="str">
        <f>_xlfn.CONCAT(_xlfn.CONCAT(IF(I9="","",_xlfn.CONCAT("FT: ",I9,IF(J9="","","; "))),IF(B9&lt;Datenblatt!$B$9,"",IF(B9="","",IF(NOT(J9=""),SUBSTITUTE(SUBSTITUTE(SUBSTITUTE(J9," mR","")," oR","")," O",""),"")))),IF(AF9="","",_xlfn.CONCAT(CHAR(10),"; ",AF9)))</f>
        <v>FT: Heilige Drei Könige</v>
      </c>
      <c r="AD9" s="124">
        <f t="shared" si="12"/>
        <v>6.67</v>
      </c>
      <c r="AE9" s="19">
        <f t="shared" si="4"/>
        <v>0</v>
      </c>
      <c r="AF9" s="156"/>
    </row>
    <row r="10" spans="1:32" s="9" customFormat="1" ht="13">
      <c r="B10" s="6">
        <f t="shared" si="5"/>
        <v>44568</v>
      </c>
      <c r="C10" s="45">
        <f>SMALL(Daten!W:W,COUNTIF(Daten!W:W,"&lt;"&amp;Stundenaufzeichnung!B10+1))</f>
        <v>44317</v>
      </c>
      <c r="D10" s="45" t="str">
        <f t="shared" si="0"/>
        <v/>
      </c>
      <c r="E10" s="8">
        <f t="shared" si="1"/>
        <v>7</v>
      </c>
      <c r="F10" s="8">
        <f t="shared" si="6"/>
        <v>5</v>
      </c>
      <c r="G10" s="8">
        <f>IF(B10="","",VLOOKUP(E10,Datenblatt!$L$2:$N$8,3,FALSE))</f>
        <v>0</v>
      </c>
      <c r="H10" s="8" t="str">
        <f t="shared" si="7"/>
        <v/>
      </c>
      <c r="I10" s="11" t="str">
        <f>IFERROR(VLOOKUP(B10,Datenblatt!$E:$F,2,FALSE),"")</f>
        <v/>
      </c>
      <c r="J10" s="113"/>
      <c r="K10" s="19">
        <f>IF(B10&lt;Datenblatt!$B$9,"",IF(B10="","",IF(G10=0,Datenblatt!$B$7,"")))</f>
        <v>6.67</v>
      </c>
      <c r="L10" s="19" t="str">
        <f t="shared" si="8"/>
        <v/>
      </c>
      <c r="M10" s="124" t="str">
        <f t="shared" si="9"/>
        <v/>
      </c>
      <c r="N10" s="124" t="str">
        <f>IF(AND(L10=Datenblatt!$B$7,NOT(L9=Datenblatt!$B$7),NOT(L11=Datenblatt!$B$7)),"y",IF(AND(L10=Datenblatt!$B$7,L11=Datenblatt!$B$7,NOT(L9=Datenblatt!$B$7)),"a",IF(AND(L10=Datenblatt!$B$7,L9=Datenblatt!$B$7,NOT(L11=Datenblatt!$B$7)),"b","")))</f>
        <v/>
      </c>
      <c r="O10" s="19" t="str">
        <f t="shared" si="10"/>
        <v/>
      </c>
      <c r="P10" s="124" t="str">
        <f>IF(AND(M10=Datenblatt!$B$7,NOT(M9=Datenblatt!$B$7),NOT(M11=Datenblatt!$B$7)),"y",IF(AND(M10=Datenblatt!$B$7,M11=Datenblatt!$B$7,NOT(M9=Datenblatt!$B$7)),"a",IF(AND(M10=Datenblatt!$B$7,M9=Datenblatt!$B$7,NOT(M11=Datenblatt!$B$7)),"b","")))</f>
        <v/>
      </c>
      <c r="Q10" s="19" t="str">
        <f t="shared" si="11"/>
        <v/>
      </c>
      <c r="R10" s="124" t="str">
        <f>IF(I10="","",IF(AND(OR(J10="Krankenstand",J10="Urlaub",J10=""), AND(G10=0,NOT(I10=""))),Datenblatt!$B$7,""))</f>
        <v/>
      </c>
      <c r="S10" s="19" t="str">
        <f>IF(OR(J10="Krankenstand",J10="Urlaub"),"",IF(J10="","",VLOOKUP(D10,Dienste!C:W,21,)))</f>
        <v/>
      </c>
      <c r="T10" s="18" t="str">
        <f>IF(OR(J10="Krankenstand",J10="Urlaub"),"",IF(J10="","",VLOOKUP(D10,Dienste!C:W,5,)))</f>
        <v/>
      </c>
      <c r="U10" s="18" t="str">
        <f>IF(OR(J10="Krankenstand",J10="Urlaub"),"",IF(J10="","",VLOOKUP(D10,Dienste!C:W,6,)))</f>
        <v/>
      </c>
      <c r="V10" s="18" t="str">
        <f>IF(OR(J10="Krankenstand",J10="Urlaub"),"",IF(J10="","",VLOOKUP(D10,Dienste!C:W,7,)))</f>
        <v/>
      </c>
      <c r="W10" s="18" t="str">
        <f>IF(OR(J10="Krankenstand",J10="Urlaub"),"",IF(J10="","",VLOOKUP(D10,Dienste!C:W,11,)))</f>
        <v/>
      </c>
      <c r="X10" s="18" t="str">
        <f>IF(OR(J10="Krankenstand",J10="Urlaub"),"",IF(J10="","",VLOOKUP(D10,Dienste!C:W,12,)))</f>
        <v/>
      </c>
      <c r="Y10" s="19" t="str">
        <f>IF(OR(J10="Krankenstand",J10="Urlaub"),"",IF(J10="","",VLOOKUP(D10,Dienste!C:W,14,)))</f>
        <v/>
      </c>
      <c r="Z10" s="20" t="str">
        <f>IF(OR(J10="Krankenstand",J10="Urlaub"),"",IF(J10="","",VLOOKUP(D10,Dienste!C:W,15,)))</f>
        <v/>
      </c>
      <c r="AA10" s="124" t="str">
        <f t="shared" si="2"/>
        <v/>
      </c>
      <c r="AB10" s="19" t="str">
        <f t="shared" si="3"/>
        <v/>
      </c>
      <c r="AC10" s="126" t="str">
        <f>_xlfn.CONCAT(_xlfn.CONCAT(IF(I10="","",_xlfn.CONCAT("FT: ",I10,IF(J10="","","; "))),IF(B10&lt;Datenblatt!$B$9,"",IF(B10="","",IF(NOT(J10=""),SUBSTITUTE(SUBSTITUTE(SUBSTITUTE(J10," mR","")," oR","")," O",""),"")))),IF(AF10="","",_xlfn.CONCAT(CHAR(10),"; ",AF10)))</f>
        <v/>
      </c>
      <c r="AD10" s="124" t="str">
        <f t="shared" si="12"/>
        <v/>
      </c>
      <c r="AE10" s="19">
        <f t="shared" si="4"/>
        <v>0</v>
      </c>
      <c r="AF10" s="156"/>
    </row>
    <row r="11" spans="1:32" s="9" customFormat="1" ht="13">
      <c r="B11" s="6">
        <f t="shared" si="5"/>
        <v>44569</v>
      </c>
      <c r="C11" s="45">
        <f>SMALL(Daten!W:W,COUNTIF(Daten!W:W,"&lt;"&amp;Stundenaufzeichnung!B11+1))</f>
        <v>44317</v>
      </c>
      <c r="D11" s="45" t="str">
        <f t="shared" si="0"/>
        <v/>
      </c>
      <c r="E11" s="8">
        <f t="shared" si="1"/>
        <v>1</v>
      </c>
      <c r="F11" s="8">
        <f t="shared" si="6"/>
        <v>6</v>
      </c>
      <c r="G11" s="8">
        <f>IF(B11="","",VLOOKUP(E11,Datenblatt!$L$2:$N$8,3,FALSE))</f>
        <v>0</v>
      </c>
      <c r="H11" s="8" t="str">
        <f t="shared" si="7"/>
        <v/>
      </c>
      <c r="I11" s="11" t="str">
        <f>IFERROR(VLOOKUP(B11,Datenblatt!$E:$F,2,FALSE),"")</f>
        <v/>
      </c>
      <c r="J11" s="113"/>
      <c r="K11" s="19">
        <f>IF(B11&lt;Datenblatt!$B$9,"",IF(B11="","",IF(G11=0,Datenblatt!$B$7,"")))</f>
        <v>6.67</v>
      </c>
      <c r="L11" s="19" t="str">
        <f t="shared" si="8"/>
        <v/>
      </c>
      <c r="M11" s="124" t="str">
        <f t="shared" si="9"/>
        <v/>
      </c>
      <c r="N11" s="124" t="str">
        <f>IF(AND(L11=Datenblatt!$B$7,NOT(L10=Datenblatt!$B$7),NOT(L12=Datenblatt!$B$7)),"y",IF(AND(L11=Datenblatt!$B$7,L12=Datenblatt!$B$7,NOT(L10=Datenblatt!$B$7)),"a",IF(AND(L11=Datenblatt!$B$7,L10=Datenblatt!$B$7,NOT(L12=Datenblatt!$B$7)),"b","")))</f>
        <v/>
      </c>
      <c r="O11" s="19" t="str">
        <f t="shared" si="10"/>
        <v/>
      </c>
      <c r="P11" s="124" t="str">
        <f>IF(AND(M11=Datenblatt!$B$7,NOT(M10=Datenblatt!$B$7),NOT(M12=Datenblatt!$B$7)),"y",IF(AND(M11=Datenblatt!$B$7,M12=Datenblatt!$B$7,NOT(M10=Datenblatt!$B$7)),"a",IF(AND(M11=Datenblatt!$B$7,M10=Datenblatt!$B$7,NOT(M12=Datenblatt!$B$7)),"b","")))</f>
        <v/>
      </c>
      <c r="Q11" s="19" t="str">
        <f t="shared" si="11"/>
        <v/>
      </c>
      <c r="R11" s="124" t="str">
        <f>IF(I11="","",IF(AND(OR(J11="Krankenstand",J11="Urlaub",J11=""), AND(G11=0,NOT(I11=""))),Datenblatt!$B$7,""))</f>
        <v/>
      </c>
      <c r="S11" s="19" t="str">
        <f>IF(OR(J11="Krankenstand",J11="Urlaub"),"",IF(J11="","",VLOOKUP(D11,Dienste!C:W,21,)))</f>
        <v/>
      </c>
      <c r="T11" s="18" t="str">
        <f>IF(OR(J11="Krankenstand",J11="Urlaub"),"",IF(J11="","",VLOOKUP(D11,Dienste!C:W,5,)))</f>
        <v/>
      </c>
      <c r="U11" s="18" t="str">
        <f>IF(OR(J11="Krankenstand",J11="Urlaub"),"",IF(J11="","",VLOOKUP(D11,Dienste!C:W,6,)))</f>
        <v/>
      </c>
      <c r="V11" s="18" t="str">
        <f>IF(OR(J11="Krankenstand",J11="Urlaub"),"",IF(J11="","",VLOOKUP(D11,Dienste!C:W,7,)))</f>
        <v/>
      </c>
      <c r="W11" s="18" t="str">
        <f>IF(OR(J11="Krankenstand",J11="Urlaub"),"",IF(J11="","",VLOOKUP(D11,Dienste!C:W,11,)))</f>
        <v/>
      </c>
      <c r="X11" s="18" t="str">
        <f>IF(OR(J11="Krankenstand",J11="Urlaub"),"",IF(J11="","",VLOOKUP(D11,Dienste!C:W,12,)))</f>
        <v/>
      </c>
      <c r="Y11" s="19" t="str">
        <f>IF(OR(J11="Krankenstand",J11="Urlaub"),"",IF(J11="","",VLOOKUP(D11,Dienste!C:W,14,)))</f>
        <v/>
      </c>
      <c r="Z11" s="20" t="str">
        <f>IF(OR(J11="Krankenstand",J11="Urlaub"),"",IF(J11="","",VLOOKUP(D11,Dienste!C:W,15,)))</f>
        <v/>
      </c>
      <c r="AA11" s="124" t="str">
        <f t="shared" si="2"/>
        <v/>
      </c>
      <c r="AB11" s="19" t="str">
        <f t="shared" si="3"/>
        <v/>
      </c>
      <c r="AC11" s="126" t="str">
        <f>_xlfn.CONCAT(_xlfn.CONCAT(IF(I11="","",_xlfn.CONCAT("FT: ",I11,IF(J11="","","; "))),IF(B11&lt;Datenblatt!$B$9,"",IF(B11="","",IF(NOT(J11=""),SUBSTITUTE(SUBSTITUTE(SUBSTITUTE(J11," mR","")," oR","")," O",""),"")))),IF(AF11="","",_xlfn.CONCAT(CHAR(10),"; ",AF11)))</f>
        <v/>
      </c>
      <c r="AD11" s="124" t="str">
        <f t="shared" si="12"/>
        <v/>
      </c>
      <c r="AE11" s="19">
        <f t="shared" si="4"/>
        <v>0</v>
      </c>
      <c r="AF11" s="156"/>
    </row>
    <row r="12" spans="1:32" s="9" customFormat="1" ht="13">
      <c r="B12" s="6">
        <f t="shared" si="5"/>
        <v>44570</v>
      </c>
      <c r="C12" s="45">
        <f>SMALL(Daten!W:W,COUNTIF(Daten!W:W,"&lt;"&amp;Stundenaufzeichnung!B12+1))</f>
        <v>44317</v>
      </c>
      <c r="D12" s="45" t="str">
        <f t="shared" si="0"/>
        <v/>
      </c>
      <c r="E12" s="8">
        <f t="shared" si="1"/>
        <v>2</v>
      </c>
      <c r="F12" s="8">
        <f t="shared" si="6"/>
        <v>7</v>
      </c>
      <c r="G12" s="8">
        <f>IF(B12="","",VLOOKUP(E12,Datenblatt!$L$2:$N$8,3,FALSE))</f>
        <v>1</v>
      </c>
      <c r="H12" s="8" t="str">
        <f t="shared" si="7"/>
        <v>x</v>
      </c>
      <c r="I12" s="11" t="str">
        <f>IFERROR(VLOOKUP(B12,Datenblatt!$E:$F,2,FALSE),"")</f>
        <v/>
      </c>
      <c r="J12" s="113"/>
      <c r="K12" s="19" t="str">
        <f>IF(B12&lt;Datenblatt!$B$9,"",IF(B12="","",IF(G12=0,Datenblatt!$B$7,"")))</f>
        <v/>
      </c>
      <c r="L12" s="19" t="str">
        <f t="shared" si="8"/>
        <v/>
      </c>
      <c r="M12" s="124" t="str">
        <f t="shared" si="9"/>
        <v/>
      </c>
      <c r="N12" s="124" t="str">
        <f>IF(AND(L12=Datenblatt!$B$7,NOT(L11=Datenblatt!$B$7),NOT(L13=Datenblatt!$B$7)),"y",IF(AND(L12=Datenblatt!$B$7,L13=Datenblatt!$B$7,NOT(L11=Datenblatt!$B$7)),"a",IF(AND(L12=Datenblatt!$B$7,L11=Datenblatt!$B$7,NOT(L13=Datenblatt!$B$7)),"b","")))</f>
        <v/>
      </c>
      <c r="O12" s="19" t="str">
        <f t="shared" si="10"/>
        <v/>
      </c>
      <c r="P12" s="124" t="str">
        <f>IF(AND(M12=Datenblatt!$B$7,NOT(M11=Datenblatt!$B$7),NOT(M13=Datenblatt!$B$7)),"y",IF(AND(M12=Datenblatt!$B$7,M13=Datenblatt!$B$7,NOT(M11=Datenblatt!$B$7)),"a",IF(AND(M12=Datenblatt!$B$7,M11=Datenblatt!$B$7,NOT(M13=Datenblatt!$B$7)),"b","")))</f>
        <v/>
      </c>
      <c r="Q12" s="19" t="str">
        <f t="shared" si="11"/>
        <v/>
      </c>
      <c r="R12" s="124" t="str">
        <f>IF(I12="","",IF(AND(OR(J12="Krankenstand",J12="Urlaub",J12=""), AND(G12=0,NOT(I12=""))),Datenblatt!$B$7,""))</f>
        <v/>
      </c>
      <c r="S12" s="19" t="str">
        <f>IF(OR(J12="Krankenstand",J12="Urlaub"),"",IF(J12="","",VLOOKUP(D12,Dienste!C:W,21,)))</f>
        <v/>
      </c>
      <c r="T12" s="18" t="str">
        <f>IF(OR(J12="Krankenstand",J12="Urlaub"),"",IF(J12="","",VLOOKUP(D12,Dienste!C:W,5,)))</f>
        <v/>
      </c>
      <c r="U12" s="18" t="str">
        <f>IF(OR(J12="Krankenstand",J12="Urlaub"),"",IF(J12="","",VLOOKUP(D12,Dienste!C:W,6,)))</f>
        <v/>
      </c>
      <c r="V12" s="18" t="str">
        <f>IF(OR(J12="Krankenstand",J12="Urlaub"),"",IF(J12="","",VLOOKUP(D12,Dienste!C:W,7,)))</f>
        <v/>
      </c>
      <c r="W12" s="18" t="str">
        <f>IF(OR(J12="Krankenstand",J12="Urlaub"),"",IF(J12="","",VLOOKUP(D12,Dienste!C:W,11,)))</f>
        <v/>
      </c>
      <c r="X12" s="18" t="str">
        <f>IF(OR(J12="Krankenstand",J12="Urlaub"),"",IF(J12="","",VLOOKUP(D12,Dienste!C:W,12,)))</f>
        <v/>
      </c>
      <c r="Y12" s="19" t="str">
        <f>IF(OR(J12="Krankenstand",J12="Urlaub"),"",IF(J12="","",VLOOKUP(D12,Dienste!C:W,14,)))</f>
        <v/>
      </c>
      <c r="Z12" s="20" t="str">
        <f>IF(OR(J12="Krankenstand",J12="Urlaub"),"",IF(J12="","",VLOOKUP(D12,Dienste!C:W,15,)))</f>
        <v/>
      </c>
      <c r="AA12" s="124" t="str">
        <f t="shared" si="2"/>
        <v/>
      </c>
      <c r="AB12" s="19" t="str">
        <f t="shared" si="3"/>
        <v/>
      </c>
      <c r="AC12" s="126" t="str">
        <f>_xlfn.CONCAT(_xlfn.CONCAT(IF(I12="","",_xlfn.CONCAT("FT: ",I12,IF(J12="","","; "))),IF(B12&lt;Datenblatt!$B$9,"",IF(B12="","",IF(NOT(J12=""),SUBSTITUTE(SUBSTITUTE(SUBSTITUTE(J12," mR","")," oR","")," O",""),"")))),IF(AF12="","",_xlfn.CONCAT(CHAR(10),"; ",AF12)))</f>
        <v/>
      </c>
      <c r="AD12" s="124" t="str">
        <f t="shared" si="12"/>
        <v/>
      </c>
      <c r="AE12" s="19">
        <f t="shared" si="4"/>
        <v>0</v>
      </c>
      <c r="AF12" s="156"/>
    </row>
    <row r="13" spans="1:32" s="9" customFormat="1" ht="13">
      <c r="B13" s="6">
        <f t="shared" si="5"/>
        <v>44571</v>
      </c>
      <c r="C13" s="45">
        <f>SMALL(Daten!W:W,COUNTIF(Daten!W:W,"&lt;"&amp;Stundenaufzeichnung!B13+1))</f>
        <v>44317</v>
      </c>
      <c r="D13" s="45" t="str">
        <f t="shared" si="0"/>
        <v/>
      </c>
      <c r="E13" s="8">
        <f t="shared" si="1"/>
        <v>3</v>
      </c>
      <c r="F13" s="8">
        <f t="shared" si="6"/>
        <v>1</v>
      </c>
      <c r="G13" s="8">
        <f>IF(B13="","",VLOOKUP(E13,Datenblatt!$L$2:$N$8,3,FALSE))</f>
        <v>0</v>
      </c>
      <c r="H13" s="8" t="str">
        <f t="shared" si="7"/>
        <v/>
      </c>
      <c r="I13" s="11" t="str">
        <f>IFERROR(VLOOKUP(B13,Datenblatt!$E:$F,2,FALSE),"")</f>
        <v/>
      </c>
      <c r="J13" s="113"/>
      <c r="K13" s="19">
        <f>IF(B13&lt;Datenblatt!$B$9,"",IF(B13="","",IF(G13=0,Datenblatt!$B$7,"")))</f>
        <v>6.67</v>
      </c>
      <c r="L13" s="19" t="str">
        <f t="shared" si="8"/>
        <v/>
      </c>
      <c r="M13" s="124" t="str">
        <f t="shared" si="9"/>
        <v/>
      </c>
      <c r="N13" s="124" t="str">
        <f>IF(AND(L13=Datenblatt!$B$7,NOT(L12=Datenblatt!$B$7),NOT(L14=Datenblatt!$B$7)),"y",IF(AND(L13=Datenblatt!$B$7,L14=Datenblatt!$B$7,NOT(L12=Datenblatt!$B$7)),"a",IF(AND(L13=Datenblatt!$B$7,L12=Datenblatt!$B$7,NOT(L14=Datenblatt!$B$7)),"b","")))</f>
        <v/>
      </c>
      <c r="O13" s="19" t="str">
        <f t="shared" si="10"/>
        <v/>
      </c>
      <c r="P13" s="124" t="str">
        <f>IF(AND(M13=Datenblatt!$B$7,NOT(M12=Datenblatt!$B$7),NOT(M14=Datenblatt!$B$7)),"y",IF(AND(M13=Datenblatt!$B$7,M14=Datenblatt!$B$7,NOT(M12=Datenblatt!$B$7)),"a",IF(AND(M13=Datenblatt!$B$7,M12=Datenblatt!$B$7,NOT(M14=Datenblatt!$B$7)),"b","")))</f>
        <v/>
      </c>
      <c r="Q13" s="19" t="str">
        <f t="shared" si="11"/>
        <v/>
      </c>
      <c r="R13" s="124" t="str">
        <f>IF(I13="","",IF(AND(OR(J13="Krankenstand",J13="Urlaub",J13=""), AND(G13=0,NOT(I13=""))),Datenblatt!$B$7,""))</f>
        <v/>
      </c>
      <c r="S13" s="19" t="str">
        <f>IF(OR(J13="Krankenstand",J13="Urlaub"),"",IF(J13="","",VLOOKUP(D13,Dienste!C:W,21,)))</f>
        <v/>
      </c>
      <c r="T13" s="18" t="str">
        <f>IF(OR(J13="Krankenstand",J13="Urlaub"),"",IF(J13="","",VLOOKUP(D13,Dienste!C:W,5,)))</f>
        <v/>
      </c>
      <c r="U13" s="18" t="str">
        <f>IF(OR(J13="Krankenstand",J13="Urlaub"),"",IF(J13="","",VLOOKUP(D13,Dienste!C:W,6,)))</f>
        <v/>
      </c>
      <c r="V13" s="18" t="str">
        <f>IF(OR(J13="Krankenstand",J13="Urlaub"),"",IF(J13="","",VLOOKUP(D13,Dienste!C:W,7,)))</f>
        <v/>
      </c>
      <c r="W13" s="18" t="str">
        <f>IF(OR(J13="Krankenstand",J13="Urlaub"),"",IF(J13="","",VLOOKUP(D13,Dienste!C:W,11,)))</f>
        <v/>
      </c>
      <c r="X13" s="18" t="str">
        <f>IF(OR(J13="Krankenstand",J13="Urlaub"),"",IF(J13="","",VLOOKUP(D13,Dienste!C:W,12,)))</f>
        <v/>
      </c>
      <c r="Y13" s="19" t="str">
        <f>IF(OR(J13="Krankenstand",J13="Urlaub"),"",IF(J13="","",VLOOKUP(D13,Dienste!C:W,14,)))</f>
        <v/>
      </c>
      <c r="Z13" s="20" t="str">
        <f>IF(OR(J13="Krankenstand",J13="Urlaub"),"",IF(J13="","",VLOOKUP(D13,Dienste!C:W,15,)))</f>
        <v/>
      </c>
      <c r="AA13" s="124" t="str">
        <f t="shared" si="2"/>
        <v/>
      </c>
      <c r="AB13" s="19" t="str">
        <f t="shared" si="3"/>
        <v/>
      </c>
      <c r="AC13" s="126" t="str">
        <f>_xlfn.CONCAT(_xlfn.CONCAT(IF(I13="","",_xlfn.CONCAT("FT: ",I13,IF(J13="","","; "))),IF(B13&lt;Datenblatt!$B$9,"",IF(B13="","",IF(NOT(J13=""),SUBSTITUTE(SUBSTITUTE(SUBSTITUTE(J13," mR","")," oR","")," O",""),"")))),IF(AF13="","",_xlfn.CONCAT(CHAR(10),"; ",AF13)))</f>
        <v/>
      </c>
      <c r="AD13" s="124" t="str">
        <f t="shared" si="12"/>
        <v/>
      </c>
      <c r="AE13" s="19">
        <f t="shared" si="4"/>
        <v>0</v>
      </c>
      <c r="AF13" s="156"/>
    </row>
    <row r="14" spans="1:32" s="9" customFormat="1" ht="13">
      <c r="B14" s="6">
        <f t="shared" si="5"/>
        <v>44572</v>
      </c>
      <c r="C14" s="45">
        <f>SMALL(Daten!W:W,COUNTIF(Daten!W:W,"&lt;"&amp;Stundenaufzeichnung!B14+1))</f>
        <v>44317</v>
      </c>
      <c r="D14" s="45" t="str">
        <f t="shared" si="0"/>
        <v/>
      </c>
      <c r="E14" s="8">
        <f t="shared" si="1"/>
        <v>4</v>
      </c>
      <c r="F14" s="8">
        <f t="shared" si="6"/>
        <v>2</v>
      </c>
      <c r="G14" s="8">
        <f>IF(B14="","",VLOOKUP(E14,Datenblatt!$L$2:$N$8,3,FALSE))</f>
        <v>0</v>
      </c>
      <c r="H14" s="8" t="str">
        <f t="shared" si="7"/>
        <v/>
      </c>
      <c r="I14" s="11" t="str">
        <f>IFERROR(VLOOKUP(B14,Datenblatt!$E:$F,2,FALSE),"")</f>
        <v/>
      </c>
      <c r="J14" s="113"/>
      <c r="K14" s="19">
        <f>IF(B14&lt;Datenblatt!$B$9,"",IF(B14="","",IF(G14=0,Datenblatt!$B$7,"")))</f>
        <v>6.67</v>
      </c>
      <c r="L14" s="19" t="str">
        <f t="shared" si="8"/>
        <v/>
      </c>
      <c r="M14" s="124" t="str">
        <f t="shared" si="9"/>
        <v/>
      </c>
      <c r="N14" s="124" t="str">
        <f>IF(AND(L14=Datenblatt!$B$7,NOT(L13=Datenblatt!$B$7),NOT(L15=Datenblatt!$B$7)),"y",IF(AND(L14=Datenblatt!$B$7,L15=Datenblatt!$B$7,NOT(L13=Datenblatt!$B$7)),"a",IF(AND(L14=Datenblatt!$B$7,L13=Datenblatt!$B$7,NOT(L15=Datenblatt!$B$7)),"b","")))</f>
        <v/>
      </c>
      <c r="O14" s="19" t="str">
        <f t="shared" si="10"/>
        <v/>
      </c>
      <c r="P14" s="124" t="str">
        <f>IF(AND(M14=Datenblatt!$B$7,NOT(M13=Datenblatt!$B$7),NOT(M15=Datenblatt!$B$7)),"y",IF(AND(M14=Datenblatt!$B$7,M15=Datenblatt!$B$7,NOT(M13=Datenblatt!$B$7)),"a",IF(AND(M14=Datenblatt!$B$7,M13=Datenblatt!$B$7,NOT(M15=Datenblatt!$B$7)),"b","")))</f>
        <v/>
      </c>
      <c r="Q14" s="19" t="str">
        <f t="shared" si="11"/>
        <v/>
      </c>
      <c r="R14" s="124" t="str">
        <f>IF(I14="","",IF(AND(OR(J14="Krankenstand",J14="Urlaub",J14=""), AND(G14=0,NOT(I14=""))),Datenblatt!$B$7,""))</f>
        <v/>
      </c>
      <c r="S14" s="19" t="str">
        <f>IF(OR(J14="Krankenstand",J14="Urlaub"),"",IF(J14="","",VLOOKUP(D14,Dienste!C:W,21,)))</f>
        <v/>
      </c>
      <c r="T14" s="18" t="str">
        <f>IF(OR(J14="Krankenstand",J14="Urlaub"),"",IF(J14="","",VLOOKUP(D14,Dienste!C:W,5,)))</f>
        <v/>
      </c>
      <c r="U14" s="18" t="str">
        <f>IF(OR(J14="Krankenstand",J14="Urlaub"),"",IF(J14="","",VLOOKUP(D14,Dienste!C:W,6,)))</f>
        <v/>
      </c>
      <c r="V14" s="18" t="str">
        <f>IF(OR(J14="Krankenstand",J14="Urlaub"),"",IF(J14="","",VLOOKUP(D14,Dienste!C:W,7,)))</f>
        <v/>
      </c>
      <c r="W14" s="18" t="str">
        <f>IF(OR(J14="Krankenstand",J14="Urlaub"),"",IF(J14="","",VLOOKUP(D14,Dienste!C:W,11,)))</f>
        <v/>
      </c>
      <c r="X14" s="18" t="str">
        <f>IF(OR(J14="Krankenstand",J14="Urlaub"),"",IF(J14="","",VLOOKUP(D14,Dienste!C:W,12,)))</f>
        <v/>
      </c>
      <c r="Y14" s="19" t="str">
        <f>IF(OR(J14="Krankenstand",J14="Urlaub"),"",IF(J14="","",VLOOKUP(D14,Dienste!C:W,14,)))</f>
        <v/>
      </c>
      <c r="Z14" s="20" t="str">
        <f>IF(OR(J14="Krankenstand",J14="Urlaub"),"",IF(J14="","",VLOOKUP(D14,Dienste!C:W,15,)))</f>
        <v/>
      </c>
      <c r="AA14" s="124" t="str">
        <f t="shared" si="2"/>
        <v/>
      </c>
      <c r="AB14" s="19" t="str">
        <f t="shared" si="3"/>
        <v/>
      </c>
      <c r="AC14" s="126" t="str">
        <f>_xlfn.CONCAT(_xlfn.CONCAT(IF(I14="","",_xlfn.CONCAT("FT: ",I14,IF(J14="","","; "))),IF(B14&lt;Datenblatt!$B$9,"",IF(B14="","",IF(NOT(J14=""),SUBSTITUTE(SUBSTITUTE(SUBSTITUTE(J14," mR","")," oR","")," O",""),"")))),IF(AF14="","",_xlfn.CONCAT(CHAR(10),"; ",AF14)))</f>
        <v/>
      </c>
      <c r="AD14" s="124" t="str">
        <f t="shared" si="12"/>
        <v/>
      </c>
      <c r="AE14" s="19">
        <f t="shared" si="4"/>
        <v>0</v>
      </c>
      <c r="AF14" s="156"/>
    </row>
    <row r="15" spans="1:32" s="9" customFormat="1" ht="13">
      <c r="B15" s="6">
        <f t="shared" si="5"/>
        <v>44573</v>
      </c>
      <c r="C15" s="45">
        <f>SMALL(Daten!W:W,COUNTIF(Daten!W:W,"&lt;"&amp;Stundenaufzeichnung!B15+1))</f>
        <v>44317</v>
      </c>
      <c r="D15" s="45" t="str">
        <f t="shared" si="0"/>
        <v/>
      </c>
      <c r="E15" s="8">
        <f t="shared" si="1"/>
        <v>5</v>
      </c>
      <c r="F15" s="8">
        <f t="shared" si="6"/>
        <v>3</v>
      </c>
      <c r="G15" s="8">
        <f>IF(B15="","",VLOOKUP(E15,Datenblatt!$L$2:$N$8,3,FALSE))</f>
        <v>0</v>
      </c>
      <c r="H15" s="8" t="str">
        <f t="shared" si="7"/>
        <v/>
      </c>
      <c r="I15" s="11" t="str">
        <f>IFERROR(VLOOKUP(B15,Datenblatt!$E:$F,2,FALSE),"")</f>
        <v/>
      </c>
      <c r="J15" s="113"/>
      <c r="K15" s="19">
        <f>IF(B15&lt;Datenblatt!$B$9,"",IF(B15="","",IF(G15=0,Datenblatt!$B$7,"")))</f>
        <v>6.67</v>
      </c>
      <c r="L15" s="19" t="str">
        <f t="shared" si="8"/>
        <v/>
      </c>
      <c r="M15" s="124" t="str">
        <f t="shared" si="9"/>
        <v/>
      </c>
      <c r="N15" s="124" t="str">
        <f>IF(AND(L15=Datenblatt!$B$7,NOT(L14=Datenblatt!$B$7),NOT(L16=Datenblatt!$B$7)),"y",IF(AND(L15=Datenblatt!$B$7,L16=Datenblatt!$B$7,NOT(L14=Datenblatt!$B$7)),"a",IF(AND(L15=Datenblatt!$B$7,L14=Datenblatt!$B$7,NOT(L16=Datenblatt!$B$7)),"b","")))</f>
        <v/>
      </c>
      <c r="O15" s="19" t="str">
        <f t="shared" si="10"/>
        <v/>
      </c>
      <c r="P15" s="124" t="str">
        <f>IF(AND(M15=Datenblatt!$B$7,NOT(M14=Datenblatt!$B$7),NOT(M16=Datenblatt!$B$7)),"y",IF(AND(M15=Datenblatt!$B$7,M16=Datenblatt!$B$7,NOT(M14=Datenblatt!$B$7)),"a",IF(AND(M15=Datenblatt!$B$7,M14=Datenblatt!$B$7,NOT(M16=Datenblatt!$B$7)),"b","")))</f>
        <v/>
      </c>
      <c r="Q15" s="19" t="str">
        <f t="shared" si="11"/>
        <v/>
      </c>
      <c r="R15" s="124" t="str">
        <f>IF(I15="","",IF(AND(OR(J15="Krankenstand",J15="Urlaub",J15=""), AND(G15=0,NOT(I15=""))),Datenblatt!$B$7,""))</f>
        <v/>
      </c>
      <c r="S15" s="19" t="str">
        <f>IF(OR(J15="Krankenstand",J15="Urlaub"),"",IF(J15="","",VLOOKUP(D15,Dienste!C:W,21,)))</f>
        <v/>
      </c>
      <c r="T15" s="18" t="str">
        <f>IF(OR(J15="Krankenstand",J15="Urlaub"),"",IF(J15="","",VLOOKUP(D15,Dienste!C:W,5,)))</f>
        <v/>
      </c>
      <c r="U15" s="18" t="str">
        <f>IF(OR(J15="Krankenstand",J15="Urlaub"),"",IF(J15="","",VLOOKUP(D15,Dienste!C:W,6,)))</f>
        <v/>
      </c>
      <c r="V15" s="18" t="str">
        <f>IF(OR(J15="Krankenstand",J15="Urlaub"),"",IF(J15="","",VLOOKUP(D15,Dienste!C:W,7,)))</f>
        <v/>
      </c>
      <c r="W15" s="18" t="str">
        <f>IF(OR(J15="Krankenstand",J15="Urlaub"),"",IF(J15="","",VLOOKUP(D15,Dienste!C:W,11,)))</f>
        <v/>
      </c>
      <c r="X15" s="18" t="str">
        <f>IF(OR(J15="Krankenstand",J15="Urlaub"),"",IF(J15="","",VLOOKUP(D15,Dienste!C:W,12,)))</f>
        <v/>
      </c>
      <c r="Y15" s="19" t="str">
        <f>IF(OR(J15="Krankenstand",J15="Urlaub"),"",IF(J15="","",VLOOKUP(D15,Dienste!C:W,14,)))</f>
        <v/>
      </c>
      <c r="Z15" s="20" t="str">
        <f>IF(OR(J15="Krankenstand",J15="Urlaub"),"",IF(J15="","",VLOOKUP(D15,Dienste!C:W,15,)))</f>
        <v/>
      </c>
      <c r="AA15" s="124" t="str">
        <f t="shared" si="2"/>
        <v/>
      </c>
      <c r="AB15" s="19" t="str">
        <f t="shared" si="3"/>
        <v/>
      </c>
      <c r="AC15" s="126" t="str">
        <f>_xlfn.CONCAT(_xlfn.CONCAT(IF(I15="","",_xlfn.CONCAT("FT: ",I15,IF(J15="","","; "))),IF(B15&lt;Datenblatt!$B$9,"",IF(B15="","",IF(NOT(J15=""),SUBSTITUTE(SUBSTITUTE(SUBSTITUTE(J15," mR","")," oR","")," O",""),"")))),IF(AF15="","",_xlfn.CONCAT(CHAR(10),"; ",AF15)))</f>
        <v/>
      </c>
      <c r="AD15" s="124" t="str">
        <f t="shared" si="12"/>
        <v/>
      </c>
      <c r="AE15" s="19">
        <f t="shared" si="4"/>
        <v>0</v>
      </c>
      <c r="AF15" s="156"/>
    </row>
    <row r="16" spans="1:32" s="9" customFormat="1" ht="13">
      <c r="B16" s="6">
        <f t="shared" si="5"/>
        <v>44574</v>
      </c>
      <c r="C16" s="45">
        <f>SMALL(Daten!W:W,COUNTIF(Daten!W:W,"&lt;"&amp;Stundenaufzeichnung!B16+1))</f>
        <v>44317</v>
      </c>
      <c r="D16" s="45" t="str">
        <f t="shared" si="0"/>
        <v/>
      </c>
      <c r="E16" s="8">
        <f t="shared" si="1"/>
        <v>6</v>
      </c>
      <c r="F16" s="8">
        <f t="shared" si="6"/>
        <v>4</v>
      </c>
      <c r="G16" s="8">
        <f>IF(B16="","",VLOOKUP(E16,Datenblatt!$L$2:$N$8,3,FALSE))</f>
        <v>0</v>
      </c>
      <c r="H16" s="8" t="str">
        <f t="shared" si="7"/>
        <v/>
      </c>
      <c r="I16" s="11" t="str">
        <f>IFERROR(VLOOKUP(B16,Datenblatt!$E:$F,2,FALSE),"")</f>
        <v/>
      </c>
      <c r="J16" s="113"/>
      <c r="K16" s="19">
        <f>IF(B16&lt;Datenblatt!$B$9,"",IF(B16="","",IF(G16=0,Datenblatt!$B$7,"")))</f>
        <v>6.67</v>
      </c>
      <c r="L16" s="19" t="str">
        <f t="shared" si="8"/>
        <v/>
      </c>
      <c r="M16" s="124" t="str">
        <f t="shared" si="9"/>
        <v/>
      </c>
      <c r="N16" s="124" t="str">
        <f>IF(AND(L16=Datenblatt!$B$7,NOT(L15=Datenblatt!$B$7),NOT(L17=Datenblatt!$B$7)),"y",IF(AND(L16=Datenblatt!$B$7,L17=Datenblatt!$B$7,NOT(L15=Datenblatt!$B$7)),"a",IF(AND(L16=Datenblatt!$B$7,L15=Datenblatt!$B$7,NOT(L17=Datenblatt!$B$7)),"b","")))</f>
        <v/>
      </c>
      <c r="O16" s="19" t="str">
        <f t="shared" si="10"/>
        <v/>
      </c>
      <c r="P16" s="124" t="str">
        <f>IF(AND(M16=Datenblatt!$B$7,NOT(M15=Datenblatt!$B$7),NOT(M17=Datenblatt!$B$7)),"y",IF(AND(M16=Datenblatt!$B$7,M17=Datenblatt!$B$7,NOT(M15=Datenblatt!$B$7)),"a",IF(AND(M16=Datenblatt!$B$7,M15=Datenblatt!$B$7,NOT(M17=Datenblatt!$B$7)),"b","")))</f>
        <v/>
      </c>
      <c r="Q16" s="19" t="str">
        <f t="shared" si="11"/>
        <v/>
      </c>
      <c r="R16" s="124" t="str">
        <f>IF(I16="","",IF(AND(OR(J16="Krankenstand",J16="Urlaub",J16=""), AND(G16=0,NOT(I16=""))),Datenblatt!$B$7,""))</f>
        <v/>
      </c>
      <c r="S16" s="19" t="str">
        <f>IF(OR(J16="Krankenstand",J16="Urlaub"),"",IF(J16="","",VLOOKUP(D16,Dienste!C:W,21,)))</f>
        <v/>
      </c>
      <c r="T16" s="18" t="str">
        <f>IF(OR(J16="Krankenstand",J16="Urlaub"),"",IF(J16="","",VLOOKUP(D16,Dienste!C:W,5,)))</f>
        <v/>
      </c>
      <c r="U16" s="18" t="str">
        <f>IF(OR(J16="Krankenstand",J16="Urlaub"),"",IF(J16="","",VLOOKUP(D16,Dienste!C:W,6,)))</f>
        <v/>
      </c>
      <c r="V16" s="18" t="str">
        <f>IF(OR(J16="Krankenstand",J16="Urlaub"),"",IF(J16="","",VLOOKUP(D16,Dienste!C:W,7,)))</f>
        <v/>
      </c>
      <c r="W16" s="18" t="str">
        <f>IF(OR(J16="Krankenstand",J16="Urlaub"),"",IF(J16="","",VLOOKUP(D16,Dienste!C:W,11,)))</f>
        <v/>
      </c>
      <c r="X16" s="18" t="str">
        <f>IF(OR(J16="Krankenstand",J16="Urlaub"),"",IF(J16="","",VLOOKUP(D16,Dienste!C:W,12,)))</f>
        <v/>
      </c>
      <c r="Y16" s="19" t="str">
        <f>IF(OR(J16="Krankenstand",J16="Urlaub"),"",IF(J16="","",VLOOKUP(D16,Dienste!C:W,14,)))</f>
        <v/>
      </c>
      <c r="Z16" s="20" t="str">
        <f>IF(OR(J16="Krankenstand",J16="Urlaub"),"",IF(J16="","",VLOOKUP(D16,Dienste!C:W,15,)))</f>
        <v/>
      </c>
      <c r="AA16" s="124" t="str">
        <f t="shared" si="2"/>
        <v/>
      </c>
      <c r="AB16" s="19" t="str">
        <f t="shared" si="3"/>
        <v/>
      </c>
      <c r="AC16" s="126" t="str">
        <f>_xlfn.CONCAT(_xlfn.CONCAT(IF(I16="","",_xlfn.CONCAT("FT: ",I16,IF(J16="","","; "))),IF(B16&lt;Datenblatt!$B$9,"",IF(B16="","",IF(NOT(J16=""),SUBSTITUTE(SUBSTITUTE(SUBSTITUTE(J16," mR","")," oR","")," O",""),"")))),IF(AF16="","",_xlfn.CONCAT(CHAR(10),"; ",AF16)))</f>
        <v/>
      </c>
      <c r="AD16" s="124" t="str">
        <f t="shared" si="12"/>
        <v/>
      </c>
      <c r="AE16" s="19">
        <f t="shared" si="4"/>
        <v>0</v>
      </c>
      <c r="AF16" s="156"/>
    </row>
    <row r="17" spans="2:32" s="9" customFormat="1" ht="13">
      <c r="B17" s="6">
        <f t="shared" si="5"/>
        <v>44575</v>
      </c>
      <c r="C17" s="45">
        <f>SMALL(Daten!W:W,COUNTIF(Daten!W:W,"&lt;"&amp;Stundenaufzeichnung!B17+1))</f>
        <v>44317</v>
      </c>
      <c r="D17" s="45" t="str">
        <f t="shared" si="0"/>
        <v/>
      </c>
      <c r="E17" s="8">
        <f t="shared" si="1"/>
        <v>7</v>
      </c>
      <c r="F17" s="8">
        <f t="shared" si="6"/>
        <v>5</v>
      </c>
      <c r="G17" s="8">
        <f>IF(B17="","",VLOOKUP(E17,Datenblatt!$L$2:$N$8,3,FALSE))</f>
        <v>0</v>
      </c>
      <c r="H17" s="8" t="str">
        <f t="shared" si="7"/>
        <v/>
      </c>
      <c r="I17" s="11" t="str">
        <f>IFERROR(VLOOKUP(B17,Datenblatt!$E:$F,2,FALSE),"")</f>
        <v/>
      </c>
      <c r="J17" s="113"/>
      <c r="K17" s="19">
        <f>IF(B17&lt;Datenblatt!$B$9,"",IF(B17="","",IF(G17=0,Datenblatt!$B$7,"")))</f>
        <v>6.67</v>
      </c>
      <c r="L17" s="19" t="str">
        <f t="shared" si="8"/>
        <v/>
      </c>
      <c r="M17" s="124" t="str">
        <f t="shared" si="9"/>
        <v/>
      </c>
      <c r="N17" s="124" t="str">
        <f>IF(AND(L17=Datenblatt!$B$7,NOT(L16=Datenblatt!$B$7),NOT(L18=Datenblatt!$B$7)),"y",IF(AND(L17=Datenblatt!$B$7,L18=Datenblatt!$B$7,NOT(L16=Datenblatt!$B$7)),"a",IF(AND(L17=Datenblatt!$B$7,L16=Datenblatt!$B$7,NOT(L18=Datenblatt!$B$7)),"b","")))</f>
        <v/>
      </c>
      <c r="O17" s="19" t="str">
        <f t="shared" si="10"/>
        <v/>
      </c>
      <c r="P17" s="124" t="str">
        <f>IF(AND(M17=Datenblatt!$B$7,NOT(M16=Datenblatt!$B$7),NOT(M18=Datenblatt!$B$7)),"y",IF(AND(M17=Datenblatt!$B$7,M18=Datenblatt!$B$7,NOT(M16=Datenblatt!$B$7)),"a",IF(AND(M17=Datenblatt!$B$7,M16=Datenblatt!$B$7,NOT(M18=Datenblatt!$B$7)),"b","")))</f>
        <v/>
      </c>
      <c r="Q17" s="19" t="str">
        <f t="shared" si="11"/>
        <v/>
      </c>
      <c r="R17" s="124" t="str">
        <f>IF(I17="","",IF(AND(OR(J17="Krankenstand",J17="Urlaub",J17=""), AND(G17=0,NOT(I17=""))),Datenblatt!$B$7,""))</f>
        <v/>
      </c>
      <c r="S17" s="19" t="str">
        <f>IF(OR(J17="Krankenstand",J17="Urlaub"),"",IF(J17="","",VLOOKUP(D17,Dienste!C:W,21,)))</f>
        <v/>
      </c>
      <c r="T17" s="18" t="str">
        <f>IF(OR(J17="Krankenstand",J17="Urlaub"),"",IF(J17="","",VLOOKUP(D17,Dienste!C:W,5,)))</f>
        <v/>
      </c>
      <c r="U17" s="18" t="str">
        <f>IF(OR(J17="Krankenstand",J17="Urlaub"),"",IF(J17="","",VLOOKUP(D17,Dienste!C:W,6,)))</f>
        <v/>
      </c>
      <c r="V17" s="18" t="str">
        <f>IF(OR(J17="Krankenstand",J17="Urlaub"),"",IF(J17="","",VLOOKUP(D17,Dienste!C:W,7,)))</f>
        <v/>
      </c>
      <c r="W17" s="18" t="str">
        <f>IF(OR(J17="Krankenstand",J17="Urlaub"),"",IF(J17="","",VLOOKUP(D17,Dienste!C:W,11,)))</f>
        <v/>
      </c>
      <c r="X17" s="18" t="str">
        <f>IF(OR(J17="Krankenstand",J17="Urlaub"),"",IF(J17="","",VLOOKUP(D17,Dienste!C:W,12,)))</f>
        <v/>
      </c>
      <c r="Y17" s="19" t="str">
        <f>IF(OR(J17="Krankenstand",J17="Urlaub"),"",IF(J17="","",VLOOKUP(D17,Dienste!C:W,14,)))</f>
        <v/>
      </c>
      <c r="Z17" s="20" t="str">
        <f>IF(OR(J17="Krankenstand",J17="Urlaub"),"",IF(J17="","",VLOOKUP(D17,Dienste!C:W,15,)))</f>
        <v/>
      </c>
      <c r="AA17" s="124" t="str">
        <f t="shared" si="2"/>
        <v/>
      </c>
      <c r="AB17" s="19" t="str">
        <f t="shared" si="3"/>
        <v/>
      </c>
      <c r="AC17" s="126" t="str">
        <f>_xlfn.CONCAT(_xlfn.CONCAT(IF(I17="","",_xlfn.CONCAT("FT: ",I17,IF(J17="","","; "))),IF(B17&lt;Datenblatt!$B$9,"",IF(B17="","",IF(NOT(J17=""),SUBSTITUTE(SUBSTITUTE(SUBSTITUTE(J17," mR","")," oR","")," O",""),"")))),IF(AF17="","",_xlfn.CONCAT(CHAR(10),"; ",AF17)))</f>
        <v/>
      </c>
      <c r="AD17" s="124" t="str">
        <f t="shared" si="12"/>
        <v/>
      </c>
      <c r="AE17" s="19">
        <f t="shared" si="4"/>
        <v>0</v>
      </c>
      <c r="AF17" s="156"/>
    </row>
    <row r="18" spans="2:32" s="9" customFormat="1" ht="13">
      <c r="B18" s="6">
        <f t="shared" si="5"/>
        <v>44576</v>
      </c>
      <c r="C18" s="45">
        <f>SMALL(Daten!W:W,COUNTIF(Daten!W:W,"&lt;"&amp;Stundenaufzeichnung!B18+1))</f>
        <v>44317</v>
      </c>
      <c r="D18" s="45" t="str">
        <f t="shared" si="0"/>
        <v/>
      </c>
      <c r="E18" s="8">
        <f t="shared" si="1"/>
        <v>1</v>
      </c>
      <c r="F18" s="8">
        <f t="shared" si="6"/>
        <v>6</v>
      </c>
      <c r="G18" s="8">
        <f>IF(B18="","",VLOOKUP(E18,Datenblatt!$L$2:$N$8,3,FALSE))</f>
        <v>0</v>
      </c>
      <c r="H18" s="8" t="str">
        <f t="shared" si="7"/>
        <v/>
      </c>
      <c r="I18" s="11" t="str">
        <f>IFERROR(VLOOKUP(B18,Datenblatt!$E:$F,2,FALSE),"")</f>
        <v/>
      </c>
      <c r="J18" s="113"/>
      <c r="K18" s="19">
        <f>IF(B18&lt;Datenblatt!$B$9,"",IF(B18="","",IF(G18=0,Datenblatt!$B$7,"")))</f>
        <v>6.67</v>
      </c>
      <c r="L18" s="19" t="str">
        <f t="shared" si="8"/>
        <v/>
      </c>
      <c r="M18" s="124" t="str">
        <f t="shared" si="9"/>
        <v/>
      </c>
      <c r="N18" s="124" t="str">
        <f>IF(AND(L18=Datenblatt!$B$7,NOT(L17=Datenblatt!$B$7),NOT(L19=Datenblatt!$B$7)),"y",IF(AND(L18=Datenblatt!$B$7,L19=Datenblatt!$B$7,NOT(L17=Datenblatt!$B$7)),"a",IF(AND(L18=Datenblatt!$B$7,L17=Datenblatt!$B$7,NOT(L19=Datenblatt!$B$7)),"b","")))</f>
        <v/>
      </c>
      <c r="O18" s="19" t="str">
        <f t="shared" si="10"/>
        <v/>
      </c>
      <c r="P18" s="124" t="str">
        <f>IF(AND(M18=Datenblatt!$B$7,NOT(M17=Datenblatt!$B$7),NOT(M19=Datenblatt!$B$7)),"y",IF(AND(M18=Datenblatt!$B$7,M19=Datenblatt!$B$7,NOT(M17=Datenblatt!$B$7)),"a",IF(AND(M18=Datenblatt!$B$7,M17=Datenblatt!$B$7,NOT(M19=Datenblatt!$B$7)),"b","")))</f>
        <v/>
      </c>
      <c r="Q18" s="19" t="str">
        <f t="shared" si="11"/>
        <v/>
      </c>
      <c r="R18" s="124" t="str">
        <f>IF(I18="","",IF(AND(OR(J18="Krankenstand",J18="Urlaub",J18=""), AND(G18=0,NOT(I18=""))),Datenblatt!$B$7,""))</f>
        <v/>
      </c>
      <c r="S18" s="19" t="str">
        <f>IF(OR(J18="Krankenstand",J18="Urlaub"),"",IF(J18="","",VLOOKUP(D18,Dienste!C:W,21,)))</f>
        <v/>
      </c>
      <c r="T18" s="18" t="str">
        <f>IF(OR(J18="Krankenstand",J18="Urlaub"),"",IF(J18="","",VLOOKUP(D18,Dienste!C:W,5,)))</f>
        <v/>
      </c>
      <c r="U18" s="18" t="str">
        <f>IF(OR(J18="Krankenstand",J18="Urlaub"),"",IF(J18="","",VLOOKUP(D18,Dienste!C:W,6,)))</f>
        <v/>
      </c>
      <c r="V18" s="18" t="str">
        <f>IF(OR(J18="Krankenstand",J18="Urlaub"),"",IF(J18="","",VLOOKUP(D18,Dienste!C:W,7,)))</f>
        <v/>
      </c>
      <c r="W18" s="18" t="str">
        <f>IF(OR(J18="Krankenstand",J18="Urlaub"),"",IF(J18="","",VLOOKUP(D18,Dienste!C:W,11,)))</f>
        <v/>
      </c>
      <c r="X18" s="18" t="str">
        <f>IF(OR(J18="Krankenstand",J18="Urlaub"),"",IF(J18="","",VLOOKUP(D18,Dienste!C:W,12,)))</f>
        <v/>
      </c>
      <c r="Y18" s="19" t="str">
        <f>IF(OR(J18="Krankenstand",J18="Urlaub"),"",IF(J18="","",VLOOKUP(D18,Dienste!C:W,14,)))</f>
        <v/>
      </c>
      <c r="Z18" s="20" t="str">
        <f>IF(OR(J18="Krankenstand",J18="Urlaub"),"",IF(J18="","",VLOOKUP(D18,Dienste!C:W,15,)))</f>
        <v/>
      </c>
      <c r="AA18" s="124" t="str">
        <f t="shared" si="2"/>
        <v/>
      </c>
      <c r="AB18" s="19" t="str">
        <f t="shared" si="3"/>
        <v/>
      </c>
      <c r="AC18" s="126" t="str">
        <f>_xlfn.CONCAT(_xlfn.CONCAT(IF(I18="","",_xlfn.CONCAT("FT: ",I18,IF(J18="","","; "))),IF(B18&lt;Datenblatt!$B$9,"",IF(B18="","",IF(NOT(J18=""),SUBSTITUTE(SUBSTITUTE(SUBSTITUTE(J18," mR","")," oR","")," O",""),"")))),IF(AF18="","",_xlfn.CONCAT(CHAR(10),"; ",AF18)))</f>
        <v/>
      </c>
      <c r="AD18" s="124" t="str">
        <f t="shared" si="12"/>
        <v/>
      </c>
      <c r="AE18" s="19">
        <f t="shared" si="4"/>
        <v>0</v>
      </c>
      <c r="AF18" s="156"/>
    </row>
    <row r="19" spans="2:32" s="9" customFormat="1" ht="13">
      <c r="B19" s="6">
        <f t="shared" si="5"/>
        <v>44577</v>
      </c>
      <c r="C19" s="45">
        <f>SMALL(Daten!W:W,COUNTIF(Daten!W:W,"&lt;"&amp;Stundenaufzeichnung!B19+1))</f>
        <v>44317</v>
      </c>
      <c r="D19" s="45" t="str">
        <f t="shared" si="0"/>
        <v/>
      </c>
      <c r="E19" s="8">
        <f t="shared" si="1"/>
        <v>2</v>
      </c>
      <c r="F19" s="8">
        <f t="shared" si="6"/>
        <v>7</v>
      </c>
      <c r="G19" s="8">
        <f>IF(B19="","",VLOOKUP(E19,Datenblatt!$L$2:$N$8,3,FALSE))</f>
        <v>1</v>
      </c>
      <c r="H19" s="8" t="str">
        <f t="shared" si="7"/>
        <v>x</v>
      </c>
      <c r="I19" s="11" t="str">
        <f>IFERROR(VLOOKUP(B19,Datenblatt!$E:$F,2,FALSE),"")</f>
        <v/>
      </c>
      <c r="J19" s="113"/>
      <c r="K19" s="19" t="str">
        <f>IF(B19&lt;Datenblatt!$B$9,"",IF(B19="","",IF(G19=0,Datenblatt!$B$7,"")))</f>
        <v/>
      </c>
      <c r="L19" s="19" t="str">
        <f t="shared" si="8"/>
        <v/>
      </c>
      <c r="M19" s="124" t="str">
        <f t="shared" si="9"/>
        <v/>
      </c>
      <c r="N19" s="124" t="str">
        <f>IF(AND(L19=Datenblatt!$B$7,NOT(L18=Datenblatt!$B$7),NOT(L20=Datenblatt!$B$7)),"y",IF(AND(L19=Datenblatt!$B$7,L20=Datenblatt!$B$7,NOT(L18=Datenblatt!$B$7)),"a",IF(AND(L19=Datenblatt!$B$7,L18=Datenblatt!$B$7,NOT(L20=Datenblatt!$B$7)),"b","")))</f>
        <v/>
      </c>
      <c r="O19" s="19" t="str">
        <f t="shared" si="10"/>
        <v/>
      </c>
      <c r="P19" s="124" t="str">
        <f>IF(AND(M19=Datenblatt!$B$7,NOT(M18=Datenblatt!$B$7),NOT(M20=Datenblatt!$B$7)),"y",IF(AND(M19=Datenblatt!$B$7,M20=Datenblatt!$B$7,NOT(M18=Datenblatt!$B$7)),"a",IF(AND(M19=Datenblatt!$B$7,M18=Datenblatt!$B$7,NOT(M20=Datenblatt!$B$7)),"b","")))</f>
        <v/>
      </c>
      <c r="Q19" s="19" t="str">
        <f t="shared" si="11"/>
        <v/>
      </c>
      <c r="R19" s="124" t="str">
        <f>IF(I19="","",IF(AND(OR(J19="Krankenstand",J19="Urlaub",J19=""), AND(G19=0,NOT(I19=""))),Datenblatt!$B$7,""))</f>
        <v/>
      </c>
      <c r="S19" s="19" t="str">
        <f>IF(OR(J19="Krankenstand",J19="Urlaub"),"",IF(J19="","",VLOOKUP(D19,Dienste!C:W,21,)))</f>
        <v/>
      </c>
      <c r="T19" s="18" t="str">
        <f>IF(OR(J19="Krankenstand",J19="Urlaub"),"",IF(J19="","",VLOOKUP(D19,Dienste!C:W,5,)))</f>
        <v/>
      </c>
      <c r="U19" s="18" t="str">
        <f>IF(OR(J19="Krankenstand",J19="Urlaub"),"",IF(J19="","",VLOOKUP(D19,Dienste!C:W,6,)))</f>
        <v/>
      </c>
      <c r="V19" s="18" t="str">
        <f>IF(OR(J19="Krankenstand",J19="Urlaub"),"",IF(J19="","",VLOOKUP(D19,Dienste!C:W,7,)))</f>
        <v/>
      </c>
      <c r="W19" s="18" t="str">
        <f>IF(OR(J19="Krankenstand",J19="Urlaub"),"",IF(J19="","",VLOOKUP(D19,Dienste!C:W,11,)))</f>
        <v/>
      </c>
      <c r="X19" s="18" t="str">
        <f>IF(OR(J19="Krankenstand",J19="Urlaub"),"",IF(J19="","",VLOOKUP(D19,Dienste!C:W,12,)))</f>
        <v/>
      </c>
      <c r="Y19" s="19" t="str">
        <f>IF(OR(J19="Krankenstand",J19="Urlaub"),"",IF(J19="","",VLOOKUP(D19,Dienste!C:W,14,)))</f>
        <v/>
      </c>
      <c r="Z19" s="20" t="str">
        <f>IF(OR(J19="Krankenstand",J19="Urlaub"),"",IF(J19="","",VLOOKUP(D19,Dienste!C:W,15,)))</f>
        <v/>
      </c>
      <c r="AA19" s="124" t="str">
        <f t="shared" si="2"/>
        <v/>
      </c>
      <c r="AB19" s="19" t="str">
        <f t="shared" si="3"/>
        <v/>
      </c>
      <c r="AC19" s="126" t="str">
        <f>_xlfn.CONCAT(_xlfn.CONCAT(IF(I19="","",_xlfn.CONCAT("FT: ",I19,IF(J19="","","; "))),IF(B19&lt;Datenblatt!$B$9,"",IF(B19="","",IF(NOT(J19=""),SUBSTITUTE(SUBSTITUTE(SUBSTITUTE(J19," mR","")," oR","")," O",""),"")))),IF(AF19="","",_xlfn.CONCAT(CHAR(10),"; ",AF19)))</f>
        <v/>
      </c>
      <c r="AD19" s="124" t="str">
        <f t="shared" si="12"/>
        <v/>
      </c>
      <c r="AE19" s="19">
        <f t="shared" si="4"/>
        <v>0</v>
      </c>
      <c r="AF19" s="156"/>
    </row>
    <row r="20" spans="2:32" s="9" customFormat="1" ht="13">
      <c r="B20" s="6">
        <f t="shared" si="5"/>
        <v>44578</v>
      </c>
      <c r="C20" s="45">
        <f>SMALL(Daten!W:W,COUNTIF(Daten!W:W,"&lt;"&amp;Stundenaufzeichnung!B20+1))</f>
        <v>44578</v>
      </c>
      <c r="D20" s="45" t="str">
        <f t="shared" si="0"/>
        <v/>
      </c>
      <c r="E20" s="8">
        <f t="shared" si="1"/>
        <v>3</v>
      </c>
      <c r="F20" s="8">
        <f t="shared" si="6"/>
        <v>1</v>
      </c>
      <c r="G20" s="8">
        <f>IF(B20="","",VLOOKUP(E20,Datenblatt!$L$2:$N$8,3,FALSE))</f>
        <v>0</v>
      </c>
      <c r="H20" s="8" t="str">
        <f t="shared" si="7"/>
        <v/>
      </c>
      <c r="I20" s="11" t="str">
        <f>IFERROR(VLOOKUP(B20,Datenblatt!$E:$F,2,FALSE),"")</f>
        <v/>
      </c>
      <c r="J20" s="113"/>
      <c r="K20" s="19">
        <f>IF(B20&lt;Datenblatt!$B$9,"",IF(B20="","",IF(G20=0,Datenblatt!$B$7,"")))</f>
        <v>6.67</v>
      </c>
      <c r="L20" s="19" t="str">
        <f t="shared" si="8"/>
        <v/>
      </c>
      <c r="M20" s="124" t="str">
        <f t="shared" si="9"/>
        <v/>
      </c>
      <c r="N20" s="124" t="str">
        <f>IF(AND(L20=Datenblatt!$B$7,NOT(L19=Datenblatt!$B$7),NOT(L21=Datenblatt!$B$7)),"y",IF(AND(L20=Datenblatt!$B$7,L21=Datenblatt!$B$7,NOT(L19=Datenblatt!$B$7)),"a",IF(AND(L20=Datenblatt!$B$7,L19=Datenblatt!$B$7,NOT(L21=Datenblatt!$B$7)),"b","")))</f>
        <v/>
      </c>
      <c r="O20" s="19" t="str">
        <f t="shared" si="10"/>
        <v/>
      </c>
      <c r="P20" s="124" t="str">
        <f>IF(AND(M20=Datenblatt!$B$7,NOT(M19=Datenblatt!$B$7),NOT(M21=Datenblatt!$B$7)),"y",IF(AND(M20=Datenblatt!$B$7,M21=Datenblatt!$B$7,NOT(M19=Datenblatt!$B$7)),"a",IF(AND(M20=Datenblatt!$B$7,M19=Datenblatt!$B$7,NOT(M21=Datenblatt!$B$7)),"b","")))</f>
        <v/>
      </c>
      <c r="Q20" s="19" t="str">
        <f t="shared" si="11"/>
        <v/>
      </c>
      <c r="R20" s="124" t="str">
        <f>IF(I20="","",IF(AND(OR(J20="Krankenstand",J20="Urlaub",J20=""), AND(G20=0,NOT(I20=""))),Datenblatt!$B$7,""))</f>
        <v/>
      </c>
      <c r="S20" s="19" t="str">
        <f>IF(OR(J20="Krankenstand",J20="Urlaub"),"",IF(J20="","",VLOOKUP(D20,Dienste!C:W,21,)))</f>
        <v/>
      </c>
      <c r="T20" s="18" t="str">
        <f>IF(OR(J20="Krankenstand",J20="Urlaub"),"",IF(J20="","",VLOOKUP(D20,Dienste!C:W,5,)))</f>
        <v/>
      </c>
      <c r="U20" s="18" t="str">
        <f>IF(OR(J20="Krankenstand",J20="Urlaub"),"",IF(J20="","",VLOOKUP(D20,Dienste!C:W,6,)))</f>
        <v/>
      </c>
      <c r="V20" s="18" t="str">
        <f>IF(OR(J20="Krankenstand",J20="Urlaub"),"",IF(J20="","",VLOOKUP(D20,Dienste!C:W,7,)))</f>
        <v/>
      </c>
      <c r="W20" s="18" t="str">
        <f>IF(OR(J20="Krankenstand",J20="Urlaub"),"",IF(J20="","",VLOOKUP(D20,Dienste!C:W,11,)))</f>
        <v/>
      </c>
      <c r="X20" s="18" t="str">
        <f>IF(OR(J20="Krankenstand",J20="Urlaub"),"",IF(J20="","",VLOOKUP(D20,Dienste!C:W,12,)))</f>
        <v/>
      </c>
      <c r="Y20" s="19" t="str">
        <f>IF(OR(J20="Krankenstand",J20="Urlaub"),"",IF(J20="","",VLOOKUP(D20,Dienste!C:W,14,)))</f>
        <v/>
      </c>
      <c r="Z20" s="20" t="str">
        <f>IF(OR(J20="Krankenstand",J20="Urlaub"),"",IF(J20="","",VLOOKUP(D20,Dienste!C:W,15,)))</f>
        <v/>
      </c>
      <c r="AA20" s="124" t="str">
        <f t="shared" si="2"/>
        <v/>
      </c>
      <c r="AB20" s="19" t="str">
        <f t="shared" si="3"/>
        <v/>
      </c>
      <c r="AC20" s="126" t="str">
        <f>_xlfn.CONCAT(_xlfn.CONCAT(IF(I20="","",_xlfn.CONCAT("FT: ",I20,IF(J20="","","; "))),IF(B20&lt;Datenblatt!$B$9,"",IF(B20="","",IF(NOT(J20=""),SUBSTITUTE(SUBSTITUTE(SUBSTITUTE(J20," mR","")," oR","")," O",""),"")))),IF(AF20="","",_xlfn.CONCAT(CHAR(10),"; ",AF20)))</f>
        <v/>
      </c>
      <c r="AD20" s="124" t="str">
        <f t="shared" si="12"/>
        <v/>
      </c>
      <c r="AE20" s="19">
        <f t="shared" si="4"/>
        <v>0</v>
      </c>
      <c r="AF20" s="156"/>
    </row>
    <row r="21" spans="2:32" s="9" customFormat="1" ht="13">
      <c r="B21" s="6">
        <f t="shared" si="5"/>
        <v>44579</v>
      </c>
      <c r="C21" s="45">
        <f>SMALL(Daten!W:W,COUNTIF(Daten!W:W,"&lt;"&amp;Stundenaufzeichnung!B21+1))</f>
        <v>44578</v>
      </c>
      <c r="D21" s="45" t="str">
        <f t="shared" si="0"/>
        <v/>
      </c>
      <c r="E21" s="8">
        <f t="shared" si="1"/>
        <v>4</v>
      </c>
      <c r="F21" s="8">
        <f t="shared" si="6"/>
        <v>2</v>
      </c>
      <c r="G21" s="8">
        <f>IF(B21="","",VLOOKUP(E21,Datenblatt!$L$2:$N$8,3,FALSE))</f>
        <v>0</v>
      </c>
      <c r="H21" s="8" t="str">
        <f t="shared" si="7"/>
        <v/>
      </c>
      <c r="I21" s="11" t="str">
        <f>IFERROR(VLOOKUP(B21,Datenblatt!$E:$F,2,FALSE),"")</f>
        <v/>
      </c>
      <c r="J21" s="113"/>
      <c r="K21" s="19">
        <f>IF(B21&lt;Datenblatt!$B$9,"",IF(B21="","",IF(G21=0,Datenblatt!$B$7,"")))</f>
        <v>6.67</v>
      </c>
      <c r="L21" s="19" t="str">
        <f t="shared" si="8"/>
        <v/>
      </c>
      <c r="M21" s="124" t="str">
        <f t="shared" si="9"/>
        <v/>
      </c>
      <c r="N21" s="124" t="str">
        <f>IF(AND(L21=Datenblatt!$B$7,NOT(L20=Datenblatt!$B$7),NOT(L22=Datenblatt!$B$7)),"y",IF(AND(L21=Datenblatt!$B$7,L22=Datenblatt!$B$7,NOT(L20=Datenblatt!$B$7)),"a",IF(AND(L21=Datenblatt!$B$7,L20=Datenblatt!$B$7,NOT(L22=Datenblatt!$B$7)),"b","")))</f>
        <v/>
      </c>
      <c r="O21" s="19" t="str">
        <f t="shared" si="10"/>
        <v/>
      </c>
      <c r="P21" s="124" t="str">
        <f>IF(AND(M21=Datenblatt!$B$7,NOT(M20=Datenblatt!$B$7),NOT(M22=Datenblatt!$B$7)),"y",IF(AND(M21=Datenblatt!$B$7,M22=Datenblatt!$B$7,NOT(M20=Datenblatt!$B$7)),"a",IF(AND(M21=Datenblatt!$B$7,M20=Datenblatt!$B$7,NOT(M22=Datenblatt!$B$7)),"b","")))</f>
        <v/>
      </c>
      <c r="Q21" s="19" t="str">
        <f t="shared" si="11"/>
        <v/>
      </c>
      <c r="R21" s="124" t="str">
        <f>IF(I21="","",IF(AND(OR(J21="Krankenstand",J21="Urlaub",J21=""), AND(G21=0,NOT(I21=""))),Datenblatt!$B$7,""))</f>
        <v/>
      </c>
      <c r="S21" s="19" t="str">
        <f>IF(OR(J21="Krankenstand",J21="Urlaub"),"",IF(J21="","",VLOOKUP(D21,Dienste!C:W,21,)))</f>
        <v/>
      </c>
      <c r="T21" s="18" t="str">
        <f>IF(OR(J21="Krankenstand",J21="Urlaub"),"",IF(J21="","",VLOOKUP(D21,Dienste!C:W,5,)))</f>
        <v/>
      </c>
      <c r="U21" s="18" t="str">
        <f>IF(OR(J21="Krankenstand",J21="Urlaub"),"",IF(J21="","",VLOOKUP(D21,Dienste!C:W,6,)))</f>
        <v/>
      </c>
      <c r="V21" s="18" t="str">
        <f>IF(OR(J21="Krankenstand",J21="Urlaub"),"",IF(J21="","",VLOOKUP(D21,Dienste!C:W,7,)))</f>
        <v/>
      </c>
      <c r="W21" s="18" t="str">
        <f>IF(OR(J21="Krankenstand",J21="Urlaub"),"",IF(J21="","",VLOOKUP(D21,Dienste!C:W,11,)))</f>
        <v/>
      </c>
      <c r="X21" s="18" t="str">
        <f>IF(OR(J21="Krankenstand",J21="Urlaub"),"",IF(J21="","",VLOOKUP(D21,Dienste!C:W,12,)))</f>
        <v/>
      </c>
      <c r="Y21" s="19" t="str">
        <f>IF(OR(J21="Krankenstand",J21="Urlaub"),"",IF(J21="","",VLOOKUP(D21,Dienste!C:W,14,)))</f>
        <v/>
      </c>
      <c r="Z21" s="20" t="str">
        <f>IF(OR(J21="Krankenstand",J21="Urlaub"),"",IF(J21="","",VLOOKUP(D21,Dienste!C:W,15,)))</f>
        <v/>
      </c>
      <c r="AA21" s="124" t="str">
        <f t="shared" si="2"/>
        <v/>
      </c>
      <c r="AB21" s="19" t="str">
        <f t="shared" si="3"/>
        <v/>
      </c>
      <c r="AC21" s="126" t="str">
        <f>_xlfn.CONCAT(_xlfn.CONCAT(IF(I21="","",_xlfn.CONCAT("FT: ",I21,IF(J21="","","; "))),IF(B21&lt;Datenblatt!$B$9,"",IF(B21="","",IF(NOT(J21=""),SUBSTITUTE(SUBSTITUTE(SUBSTITUTE(J21," mR","")," oR","")," O",""),"")))),IF(AF21="","",_xlfn.CONCAT(CHAR(10),"; ",AF21)))</f>
        <v/>
      </c>
      <c r="AD21" s="124" t="str">
        <f t="shared" si="12"/>
        <v/>
      </c>
      <c r="AE21" s="19">
        <f t="shared" si="4"/>
        <v>0</v>
      </c>
      <c r="AF21" s="156"/>
    </row>
    <row r="22" spans="2:32" s="9" customFormat="1" ht="13">
      <c r="B22" s="6">
        <f t="shared" si="5"/>
        <v>44580</v>
      </c>
      <c r="C22" s="45">
        <f>SMALL(Daten!W:W,COUNTIF(Daten!W:W,"&lt;"&amp;Stundenaufzeichnung!B22+1))</f>
        <v>44578</v>
      </c>
      <c r="D22" s="45" t="str">
        <f t="shared" si="0"/>
        <v/>
      </c>
      <c r="E22" s="8">
        <f t="shared" si="1"/>
        <v>5</v>
      </c>
      <c r="F22" s="8">
        <f t="shared" si="6"/>
        <v>3</v>
      </c>
      <c r="G22" s="8">
        <f>IF(B22="","",VLOOKUP(E22,Datenblatt!$L$2:$N$8,3,FALSE))</f>
        <v>0</v>
      </c>
      <c r="H22" s="8" t="str">
        <f t="shared" si="7"/>
        <v/>
      </c>
      <c r="I22" s="11" t="str">
        <f>IFERROR(VLOOKUP(B22,Datenblatt!$E:$F,2,FALSE),"")</f>
        <v/>
      </c>
      <c r="J22" s="113"/>
      <c r="K22" s="19">
        <f>IF(B22&lt;Datenblatt!$B$9,"",IF(B22="","",IF(G22=0,Datenblatt!$B$7,"")))</f>
        <v>6.67</v>
      </c>
      <c r="L22" s="19" t="str">
        <f t="shared" si="8"/>
        <v/>
      </c>
      <c r="M22" s="124" t="str">
        <f t="shared" si="9"/>
        <v/>
      </c>
      <c r="N22" s="124" t="str">
        <f>IF(AND(L22=Datenblatt!$B$7,NOT(L21=Datenblatt!$B$7),NOT(L23=Datenblatt!$B$7)),"y",IF(AND(L22=Datenblatt!$B$7,L23=Datenblatt!$B$7,NOT(L21=Datenblatt!$B$7)),"a",IF(AND(L22=Datenblatt!$B$7,L21=Datenblatt!$B$7,NOT(L23=Datenblatt!$B$7)),"b","")))</f>
        <v/>
      </c>
      <c r="O22" s="19" t="str">
        <f t="shared" si="10"/>
        <v/>
      </c>
      <c r="P22" s="124" t="str">
        <f>IF(AND(M22=Datenblatt!$B$7,NOT(M21=Datenblatt!$B$7),NOT(M23=Datenblatt!$B$7)),"y",IF(AND(M22=Datenblatt!$B$7,M23=Datenblatt!$B$7,NOT(M21=Datenblatt!$B$7)),"a",IF(AND(M22=Datenblatt!$B$7,M21=Datenblatt!$B$7,NOT(M23=Datenblatt!$B$7)),"b","")))</f>
        <v/>
      </c>
      <c r="Q22" s="19" t="str">
        <f t="shared" si="11"/>
        <v/>
      </c>
      <c r="R22" s="124" t="str">
        <f>IF(I22="","",IF(AND(OR(J22="Krankenstand",J22="Urlaub",J22=""), AND(G22=0,NOT(I22=""))),Datenblatt!$B$7,""))</f>
        <v/>
      </c>
      <c r="S22" s="19" t="str">
        <f>IF(OR(J22="Krankenstand",J22="Urlaub"),"",IF(J22="","",VLOOKUP(D22,Dienste!C:W,21,)))</f>
        <v/>
      </c>
      <c r="T22" s="18" t="str">
        <f>IF(OR(J22="Krankenstand",J22="Urlaub"),"",IF(J22="","",VLOOKUP(D22,Dienste!C:W,5,)))</f>
        <v/>
      </c>
      <c r="U22" s="18" t="str">
        <f>IF(OR(J22="Krankenstand",J22="Urlaub"),"",IF(J22="","",VLOOKUP(D22,Dienste!C:W,6,)))</f>
        <v/>
      </c>
      <c r="V22" s="18" t="str">
        <f>IF(OR(J22="Krankenstand",J22="Urlaub"),"",IF(J22="","",VLOOKUP(D22,Dienste!C:W,7,)))</f>
        <v/>
      </c>
      <c r="W22" s="18" t="str">
        <f>IF(OR(J22="Krankenstand",J22="Urlaub"),"",IF(J22="","",VLOOKUP(D22,Dienste!C:W,11,)))</f>
        <v/>
      </c>
      <c r="X22" s="18" t="str">
        <f>IF(OR(J22="Krankenstand",J22="Urlaub"),"",IF(J22="","",VLOOKUP(D22,Dienste!C:W,12,)))</f>
        <v/>
      </c>
      <c r="Y22" s="19" t="str">
        <f>IF(OR(J22="Krankenstand",J22="Urlaub"),"",IF(J22="","",VLOOKUP(D22,Dienste!C:W,14,)))</f>
        <v/>
      </c>
      <c r="Z22" s="20" t="str">
        <f>IF(OR(J22="Krankenstand",J22="Urlaub"),"",IF(J22="","",VLOOKUP(D22,Dienste!C:W,15,)))</f>
        <v/>
      </c>
      <c r="AA22" s="124" t="str">
        <f t="shared" si="2"/>
        <v/>
      </c>
      <c r="AB22" s="19" t="str">
        <f t="shared" si="3"/>
        <v/>
      </c>
      <c r="AC22" s="126" t="str">
        <f>_xlfn.CONCAT(_xlfn.CONCAT(IF(I22="","",_xlfn.CONCAT("FT: ",I22,IF(J22="","","; "))),IF(B22&lt;Datenblatt!$B$9,"",IF(B22="","",IF(NOT(J22=""),SUBSTITUTE(SUBSTITUTE(SUBSTITUTE(J22," mR","")," oR","")," O",""),"")))),IF(AF22="","",_xlfn.CONCAT(CHAR(10),"; ",AF22)))</f>
        <v/>
      </c>
      <c r="AD22" s="124" t="str">
        <f t="shared" si="12"/>
        <v/>
      </c>
      <c r="AE22" s="19">
        <f t="shared" si="4"/>
        <v>0</v>
      </c>
      <c r="AF22" s="156"/>
    </row>
    <row r="23" spans="2:32" s="9" customFormat="1" ht="13">
      <c r="B23" s="6">
        <f t="shared" si="5"/>
        <v>44581</v>
      </c>
      <c r="C23" s="45">
        <f>SMALL(Daten!W:W,COUNTIF(Daten!W:W,"&lt;"&amp;Stundenaufzeichnung!B23+1))</f>
        <v>44578</v>
      </c>
      <c r="D23" s="45" t="str">
        <f t="shared" si="0"/>
        <v/>
      </c>
      <c r="E23" s="8">
        <f t="shared" si="1"/>
        <v>6</v>
      </c>
      <c r="F23" s="8">
        <f t="shared" si="6"/>
        <v>4</v>
      </c>
      <c r="G23" s="8">
        <f>IF(B23="","",VLOOKUP(E23,Datenblatt!$L$2:$N$8,3,FALSE))</f>
        <v>0</v>
      </c>
      <c r="H23" s="8" t="str">
        <f t="shared" si="7"/>
        <v/>
      </c>
      <c r="I23" s="11" t="str">
        <f>IFERROR(VLOOKUP(B23,Datenblatt!$E:$F,2,FALSE),"")</f>
        <v/>
      </c>
      <c r="J23" s="113"/>
      <c r="K23" s="19">
        <f>IF(B23&lt;Datenblatt!$B$9,"",IF(B23="","",IF(G23=0,Datenblatt!$B$7,"")))</f>
        <v>6.67</v>
      </c>
      <c r="L23" s="19" t="str">
        <f t="shared" si="8"/>
        <v/>
      </c>
      <c r="M23" s="124" t="str">
        <f t="shared" si="9"/>
        <v/>
      </c>
      <c r="N23" s="124" t="str">
        <f>IF(AND(L23=Datenblatt!$B$7,NOT(L22=Datenblatt!$B$7),NOT(L24=Datenblatt!$B$7)),"y",IF(AND(L23=Datenblatt!$B$7,L24=Datenblatt!$B$7,NOT(L22=Datenblatt!$B$7)),"a",IF(AND(L23=Datenblatt!$B$7,L22=Datenblatt!$B$7,NOT(L24=Datenblatt!$B$7)),"b","")))</f>
        <v/>
      </c>
      <c r="O23" s="19" t="str">
        <f t="shared" si="10"/>
        <v/>
      </c>
      <c r="P23" s="124" t="str">
        <f>IF(AND(M23=Datenblatt!$B$7,NOT(M22=Datenblatt!$B$7),NOT(M24=Datenblatt!$B$7)),"y",IF(AND(M23=Datenblatt!$B$7,M24=Datenblatt!$B$7,NOT(M22=Datenblatt!$B$7)),"a",IF(AND(M23=Datenblatt!$B$7,M22=Datenblatt!$B$7,NOT(M24=Datenblatt!$B$7)),"b","")))</f>
        <v/>
      </c>
      <c r="Q23" s="19" t="str">
        <f t="shared" si="11"/>
        <v/>
      </c>
      <c r="R23" s="124" t="str">
        <f>IF(I23="","",IF(AND(OR(J23="Krankenstand",J23="Urlaub",J23=""), AND(G23=0,NOT(I23=""))),Datenblatt!$B$7,""))</f>
        <v/>
      </c>
      <c r="S23" s="19" t="str">
        <f>IF(OR(J23="Krankenstand",J23="Urlaub"),"",IF(J23="","",VLOOKUP(D23,Dienste!C:W,21,)))</f>
        <v/>
      </c>
      <c r="T23" s="18" t="str">
        <f>IF(OR(J23="Krankenstand",J23="Urlaub"),"",IF(J23="","",VLOOKUP(D23,Dienste!C:W,5,)))</f>
        <v/>
      </c>
      <c r="U23" s="18" t="str">
        <f>IF(OR(J23="Krankenstand",J23="Urlaub"),"",IF(J23="","",VLOOKUP(D23,Dienste!C:W,6,)))</f>
        <v/>
      </c>
      <c r="V23" s="18" t="str">
        <f>IF(OR(J23="Krankenstand",J23="Urlaub"),"",IF(J23="","",VLOOKUP(D23,Dienste!C:W,7,)))</f>
        <v/>
      </c>
      <c r="W23" s="18" t="str">
        <f>IF(OR(J23="Krankenstand",J23="Urlaub"),"",IF(J23="","",VLOOKUP(D23,Dienste!C:W,11,)))</f>
        <v/>
      </c>
      <c r="X23" s="18" t="str">
        <f>IF(OR(J23="Krankenstand",J23="Urlaub"),"",IF(J23="","",VLOOKUP(D23,Dienste!C:W,12,)))</f>
        <v/>
      </c>
      <c r="Y23" s="19" t="str">
        <f>IF(OR(J23="Krankenstand",J23="Urlaub"),"",IF(J23="","",VLOOKUP(D23,Dienste!C:W,14,)))</f>
        <v/>
      </c>
      <c r="Z23" s="20" t="str">
        <f>IF(OR(J23="Krankenstand",J23="Urlaub"),"",IF(J23="","",VLOOKUP(D23,Dienste!C:W,15,)))</f>
        <v/>
      </c>
      <c r="AA23" s="124" t="str">
        <f t="shared" si="2"/>
        <v/>
      </c>
      <c r="AB23" s="19" t="str">
        <f t="shared" si="3"/>
        <v/>
      </c>
      <c r="AC23" s="126" t="str">
        <f>_xlfn.CONCAT(_xlfn.CONCAT(IF(I23="","",_xlfn.CONCAT("FT: ",I23,IF(J23="","","; "))),IF(B23&lt;Datenblatt!$B$9,"",IF(B23="","",IF(NOT(J23=""),SUBSTITUTE(SUBSTITUTE(SUBSTITUTE(J23," mR","")," oR","")," O",""),"")))),IF(AF23="","",_xlfn.CONCAT(CHAR(10),"; ",AF23)))</f>
        <v/>
      </c>
      <c r="AD23" s="124" t="str">
        <f t="shared" si="12"/>
        <v/>
      </c>
      <c r="AE23" s="19">
        <f t="shared" si="4"/>
        <v>0</v>
      </c>
      <c r="AF23" s="156"/>
    </row>
    <row r="24" spans="2:32" s="9" customFormat="1" ht="13">
      <c r="B24" s="6">
        <f t="shared" si="5"/>
        <v>44582</v>
      </c>
      <c r="C24" s="45">
        <f>SMALL(Daten!W:W,COUNTIF(Daten!W:W,"&lt;"&amp;Stundenaufzeichnung!B24+1))</f>
        <v>44578</v>
      </c>
      <c r="D24" s="45" t="str">
        <f t="shared" si="0"/>
        <v/>
      </c>
      <c r="E24" s="8">
        <f t="shared" si="1"/>
        <v>7</v>
      </c>
      <c r="F24" s="8">
        <f t="shared" si="6"/>
        <v>5</v>
      </c>
      <c r="G24" s="8">
        <f>IF(B24="","",VLOOKUP(E24,Datenblatt!$L$2:$N$8,3,FALSE))</f>
        <v>0</v>
      </c>
      <c r="H24" s="8" t="str">
        <f t="shared" si="7"/>
        <v/>
      </c>
      <c r="I24" s="11" t="str">
        <f>IFERROR(VLOOKUP(B24,Datenblatt!$E:$F,2,FALSE),"")</f>
        <v/>
      </c>
      <c r="J24" s="113"/>
      <c r="K24" s="19">
        <f>IF(B24&lt;Datenblatt!$B$9,"",IF(B24="","",IF(G24=0,Datenblatt!$B$7,"")))</f>
        <v>6.67</v>
      </c>
      <c r="L24" s="19" t="str">
        <f t="shared" si="8"/>
        <v/>
      </c>
      <c r="M24" s="124" t="str">
        <f t="shared" si="9"/>
        <v/>
      </c>
      <c r="N24" s="124" t="str">
        <f>IF(AND(L24=Datenblatt!$B$7,NOT(L23=Datenblatt!$B$7),NOT(L25=Datenblatt!$B$7)),"y",IF(AND(L24=Datenblatt!$B$7,L25=Datenblatt!$B$7,NOT(L23=Datenblatt!$B$7)),"a",IF(AND(L24=Datenblatt!$B$7,L23=Datenblatt!$B$7,NOT(L25=Datenblatt!$B$7)),"b","")))</f>
        <v/>
      </c>
      <c r="O24" s="19" t="str">
        <f t="shared" si="10"/>
        <v/>
      </c>
      <c r="P24" s="124" t="str">
        <f>IF(AND(M24=Datenblatt!$B$7,NOT(M23=Datenblatt!$B$7),NOT(M25=Datenblatt!$B$7)),"y",IF(AND(M24=Datenblatt!$B$7,M25=Datenblatt!$B$7,NOT(M23=Datenblatt!$B$7)),"a",IF(AND(M24=Datenblatt!$B$7,M23=Datenblatt!$B$7,NOT(M25=Datenblatt!$B$7)),"b","")))</f>
        <v/>
      </c>
      <c r="Q24" s="19" t="str">
        <f t="shared" si="11"/>
        <v/>
      </c>
      <c r="R24" s="124" t="str">
        <f>IF(I24="","",IF(AND(OR(J24="Krankenstand",J24="Urlaub",J24=""), AND(G24=0,NOT(I24=""))),Datenblatt!$B$7,""))</f>
        <v/>
      </c>
      <c r="S24" s="19" t="str">
        <f>IF(OR(J24="Krankenstand",J24="Urlaub"),"",IF(J24="","",VLOOKUP(D24,Dienste!C:W,21,)))</f>
        <v/>
      </c>
      <c r="T24" s="18" t="str">
        <f>IF(OR(J24="Krankenstand",J24="Urlaub"),"",IF(J24="","",VLOOKUP(D24,Dienste!C:W,5,)))</f>
        <v/>
      </c>
      <c r="U24" s="18" t="str">
        <f>IF(OR(J24="Krankenstand",J24="Urlaub"),"",IF(J24="","",VLOOKUP(D24,Dienste!C:W,6,)))</f>
        <v/>
      </c>
      <c r="V24" s="18" t="str">
        <f>IF(OR(J24="Krankenstand",J24="Urlaub"),"",IF(J24="","",VLOOKUP(D24,Dienste!C:W,7,)))</f>
        <v/>
      </c>
      <c r="W24" s="18" t="str">
        <f>IF(OR(J24="Krankenstand",J24="Urlaub"),"",IF(J24="","",VLOOKUP(D24,Dienste!C:W,11,)))</f>
        <v/>
      </c>
      <c r="X24" s="18" t="str">
        <f>IF(OR(J24="Krankenstand",J24="Urlaub"),"",IF(J24="","",VLOOKUP(D24,Dienste!C:W,12,)))</f>
        <v/>
      </c>
      <c r="Y24" s="19" t="str">
        <f>IF(OR(J24="Krankenstand",J24="Urlaub"),"",IF(J24="","",VLOOKUP(D24,Dienste!C:W,14,)))</f>
        <v/>
      </c>
      <c r="Z24" s="20" t="str">
        <f>IF(OR(J24="Krankenstand",J24="Urlaub"),"",IF(J24="","",VLOOKUP(D24,Dienste!C:W,15,)))</f>
        <v/>
      </c>
      <c r="AA24" s="124" t="str">
        <f t="shared" si="2"/>
        <v/>
      </c>
      <c r="AB24" s="19" t="str">
        <f t="shared" si="3"/>
        <v/>
      </c>
      <c r="AC24" s="126" t="str">
        <f>_xlfn.CONCAT(_xlfn.CONCAT(IF(I24="","",_xlfn.CONCAT("FT: ",I24,IF(J24="","","; "))),IF(B24&lt;Datenblatt!$B$9,"",IF(B24="","",IF(NOT(J24=""),SUBSTITUTE(SUBSTITUTE(SUBSTITUTE(J24," mR","")," oR","")," O",""),"")))),IF(AF24="","",_xlfn.CONCAT(CHAR(10),"; ",AF24)))</f>
        <v/>
      </c>
      <c r="AD24" s="124" t="str">
        <f t="shared" si="12"/>
        <v/>
      </c>
      <c r="AE24" s="19">
        <f t="shared" si="4"/>
        <v>0</v>
      </c>
      <c r="AF24" s="156"/>
    </row>
    <row r="25" spans="2:32" s="9" customFormat="1" ht="13">
      <c r="B25" s="6">
        <f t="shared" si="5"/>
        <v>44583</v>
      </c>
      <c r="C25" s="45">
        <f>SMALL(Daten!W:W,COUNTIF(Daten!W:W,"&lt;"&amp;Stundenaufzeichnung!B25+1))</f>
        <v>44578</v>
      </c>
      <c r="D25" s="45" t="str">
        <f t="shared" si="0"/>
        <v/>
      </c>
      <c r="E25" s="8">
        <f t="shared" si="1"/>
        <v>1</v>
      </c>
      <c r="F25" s="8">
        <f t="shared" si="6"/>
        <v>6</v>
      </c>
      <c r="G25" s="8">
        <f>IF(B25="","",VLOOKUP(E25,Datenblatt!$L$2:$N$8,3,FALSE))</f>
        <v>0</v>
      </c>
      <c r="H25" s="8" t="str">
        <f t="shared" si="7"/>
        <v/>
      </c>
      <c r="I25" s="11" t="str">
        <f>IFERROR(VLOOKUP(B25,Datenblatt!$E:$F,2,FALSE),"")</f>
        <v/>
      </c>
      <c r="J25" s="113"/>
      <c r="K25" s="19">
        <f>IF(B25&lt;Datenblatt!$B$9,"",IF(B25="","",IF(G25=0,Datenblatt!$B$7,"")))</f>
        <v>6.67</v>
      </c>
      <c r="L25" s="19" t="str">
        <f t="shared" si="8"/>
        <v/>
      </c>
      <c r="M25" s="124" t="str">
        <f t="shared" si="9"/>
        <v/>
      </c>
      <c r="N25" s="124" t="str">
        <f>IF(AND(L25=Datenblatt!$B$7,NOT(L24=Datenblatt!$B$7),NOT(L26=Datenblatt!$B$7)),"y",IF(AND(L25=Datenblatt!$B$7,L26=Datenblatt!$B$7,NOT(L24=Datenblatt!$B$7)),"a",IF(AND(L25=Datenblatt!$B$7,L24=Datenblatt!$B$7,NOT(L26=Datenblatt!$B$7)),"b","")))</f>
        <v/>
      </c>
      <c r="O25" s="19" t="str">
        <f t="shared" si="10"/>
        <v/>
      </c>
      <c r="P25" s="124" t="str">
        <f>IF(AND(M25=Datenblatt!$B$7,NOT(M24=Datenblatt!$B$7),NOT(M26=Datenblatt!$B$7)),"y",IF(AND(M25=Datenblatt!$B$7,M26=Datenblatt!$B$7,NOT(M24=Datenblatt!$B$7)),"a",IF(AND(M25=Datenblatt!$B$7,M24=Datenblatt!$B$7,NOT(M26=Datenblatt!$B$7)),"b","")))</f>
        <v/>
      </c>
      <c r="Q25" s="19" t="str">
        <f t="shared" si="11"/>
        <v/>
      </c>
      <c r="R25" s="124" t="str">
        <f>IF(I25="","",IF(AND(OR(J25="Krankenstand",J25="Urlaub",J25=""), AND(G25=0,NOT(I25=""))),Datenblatt!$B$7,""))</f>
        <v/>
      </c>
      <c r="S25" s="19" t="str">
        <f>IF(OR(J25="Krankenstand",J25="Urlaub"),"",IF(J25="","",VLOOKUP(D25,Dienste!C:W,21,)))</f>
        <v/>
      </c>
      <c r="T25" s="18" t="str">
        <f>IF(OR(J25="Krankenstand",J25="Urlaub"),"",IF(J25="","",VLOOKUP(D25,Dienste!C:W,5,)))</f>
        <v/>
      </c>
      <c r="U25" s="18" t="str">
        <f>IF(OR(J25="Krankenstand",J25="Urlaub"),"",IF(J25="","",VLOOKUP(D25,Dienste!C:W,6,)))</f>
        <v/>
      </c>
      <c r="V25" s="18" t="str">
        <f>IF(OR(J25="Krankenstand",J25="Urlaub"),"",IF(J25="","",VLOOKUP(D25,Dienste!C:W,7,)))</f>
        <v/>
      </c>
      <c r="W25" s="18" t="str">
        <f>IF(OR(J25="Krankenstand",J25="Urlaub"),"",IF(J25="","",VLOOKUP(D25,Dienste!C:W,11,)))</f>
        <v/>
      </c>
      <c r="X25" s="18" t="str">
        <f>IF(OR(J25="Krankenstand",J25="Urlaub"),"",IF(J25="","",VLOOKUP(D25,Dienste!C:W,12,)))</f>
        <v/>
      </c>
      <c r="Y25" s="19" t="str">
        <f>IF(OR(J25="Krankenstand",J25="Urlaub"),"",IF(J25="","",VLOOKUP(D25,Dienste!C:W,14,)))</f>
        <v/>
      </c>
      <c r="Z25" s="20" t="str">
        <f>IF(OR(J25="Krankenstand",J25="Urlaub"),"",IF(J25="","",VLOOKUP(D25,Dienste!C:W,15,)))</f>
        <v/>
      </c>
      <c r="AA25" s="124" t="str">
        <f t="shared" si="2"/>
        <v/>
      </c>
      <c r="AB25" s="19" t="str">
        <f t="shared" si="3"/>
        <v/>
      </c>
      <c r="AC25" s="126" t="str">
        <f>_xlfn.CONCAT(_xlfn.CONCAT(IF(I25="","",_xlfn.CONCAT("FT: ",I25,IF(J25="","","; "))),IF(B25&lt;Datenblatt!$B$9,"",IF(B25="","",IF(NOT(J25=""),SUBSTITUTE(SUBSTITUTE(SUBSTITUTE(J25," mR","")," oR","")," O",""),"")))),IF(AF25="","",_xlfn.CONCAT(CHAR(10),"; ",AF25)))</f>
        <v/>
      </c>
      <c r="AD25" s="124" t="str">
        <f t="shared" si="12"/>
        <v/>
      </c>
      <c r="AE25" s="19">
        <f t="shared" si="4"/>
        <v>0</v>
      </c>
      <c r="AF25" s="156"/>
    </row>
    <row r="26" spans="2:32" s="9" customFormat="1" ht="13">
      <c r="B26" s="6">
        <f t="shared" si="5"/>
        <v>44584</v>
      </c>
      <c r="C26" s="45">
        <f>SMALL(Daten!W:W,COUNTIF(Daten!W:W,"&lt;"&amp;Stundenaufzeichnung!B26+1))</f>
        <v>44578</v>
      </c>
      <c r="D26" s="45" t="str">
        <f t="shared" si="0"/>
        <v/>
      </c>
      <c r="E26" s="8">
        <f t="shared" si="1"/>
        <v>2</v>
      </c>
      <c r="F26" s="8">
        <f t="shared" si="6"/>
        <v>7</v>
      </c>
      <c r="G26" s="8">
        <f>IF(B26="","",VLOOKUP(E26,Datenblatt!$L$2:$N$8,3,FALSE))</f>
        <v>1</v>
      </c>
      <c r="H26" s="8" t="str">
        <f t="shared" si="7"/>
        <v>x</v>
      </c>
      <c r="I26" s="11" t="str">
        <f>IFERROR(VLOOKUP(B26,Datenblatt!$E:$F,2,FALSE),"")</f>
        <v/>
      </c>
      <c r="J26" s="113"/>
      <c r="K26" s="19" t="str">
        <f>IF(B26&lt;Datenblatt!$B$9,"",IF(B26="","",IF(G26=0,Datenblatt!$B$7,"")))</f>
        <v/>
      </c>
      <c r="L26" s="19" t="str">
        <f t="shared" si="8"/>
        <v/>
      </c>
      <c r="M26" s="124" t="str">
        <f t="shared" si="9"/>
        <v/>
      </c>
      <c r="N26" s="124" t="str">
        <f>IF(AND(L26=Datenblatt!$B$7,NOT(L25=Datenblatt!$B$7),NOT(L27=Datenblatt!$B$7)),"y",IF(AND(L26=Datenblatt!$B$7,L27=Datenblatt!$B$7,NOT(L25=Datenblatt!$B$7)),"a",IF(AND(L26=Datenblatt!$B$7,L25=Datenblatt!$B$7,NOT(L27=Datenblatt!$B$7)),"b","")))</f>
        <v/>
      </c>
      <c r="O26" s="19" t="str">
        <f t="shared" si="10"/>
        <v/>
      </c>
      <c r="P26" s="124" t="str">
        <f>IF(AND(M26=Datenblatt!$B$7,NOT(M25=Datenblatt!$B$7),NOT(M27=Datenblatt!$B$7)),"y",IF(AND(M26=Datenblatt!$B$7,M27=Datenblatt!$B$7,NOT(M25=Datenblatt!$B$7)),"a",IF(AND(M26=Datenblatt!$B$7,M25=Datenblatt!$B$7,NOT(M27=Datenblatt!$B$7)),"b","")))</f>
        <v/>
      </c>
      <c r="Q26" s="19" t="str">
        <f t="shared" si="11"/>
        <v/>
      </c>
      <c r="R26" s="124" t="str">
        <f>IF(I26="","",IF(AND(OR(J26="Krankenstand",J26="Urlaub",J26=""), AND(G26=0,NOT(I26=""))),Datenblatt!$B$7,""))</f>
        <v/>
      </c>
      <c r="S26" s="19" t="str">
        <f>IF(OR(J26="Krankenstand",J26="Urlaub"),"",IF(J26="","",VLOOKUP(D26,Dienste!C:W,21,)))</f>
        <v/>
      </c>
      <c r="T26" s="18" t="str">
        <f>IF(OR(J26="Krankenstand",J26="Urlaub"),"",IF(J26="","",VLOOKUP(D26,Dienste!C:W,5,)))</f>
        <v/>
      </c>
      <c r="U26" s="18" t="str">
        <f>IF(OR(J26="Krankenstand",J26="Urlaub"),"",IF(J26="","",VLOOKUP(D26,Dienste!C:W,6,)))</f>
        <v/>
      </c>
      <c r="V26" s="18" t="str">
        <f>IF(OR(J26="Krankenstand",J26="Urlaub"),"",IF(J26="","",VLOOKUP(D26,Dienste!C:W,7,)))</f>
        <v/>
      </c>
      <c r="W26" s="18" t="str">
        <f>IF(OR(J26="Krankenstand",J26="Urlaub"),"",IF(J26="","",VLOOKUP(D26,Dienste!C:W,11,)))</f>
        <v/>
      </c>
      <c r="X26" s="18" t="str">
        <f>IF(OR(J26="Krankenstand",J26="Urlaub"),"",IF(J26="","",VLOOKUP(D26,Dienste!C:W,12,)))</f>
        <v/>
      </c>
      <c r="Y26" s="19" t="str">
        <f>IF(OR(J26="Krankenstand",J26="Urlaub"),"",IF(J26="","",VLOOKUP(D26,Dienste!C:W,14,)))</f>
        <v/>
      </c>
      <c r="Z26" s="20" t="str">
        <f>IF(OR(J26="Krankenstand",J26="Urlaub"),"",IF(J26="","",VLOOKUP(D26,Dienste!C:W,15,)))</f>
        <v/>
      </c>
      <c r="AA26" s="124" t="str">
        <f t="shared" si="2"/>
        <v/>
      </c>
      <c r="AB26" s="19" t="str">
        <f t="shared" si="3"/>
        <v/>
      </c>
      <c r="AC26" s="126" t="str">
        <f>_xlfn.CONCAT(_xlfn.CONCAT(IF(I26="","",_xlfn.CONCAT("FT: ",I26,IF(J26="","","; "))),IF(B26&lt;Datenblatt!$B$9,"",IF(B26="","",IF(NOT(J26=""),SUBSTITUTE(SUBSTITUTE(SUBSTITUTE(J26," mR","")," oR","")," O",""),"")))),IF(AF26="","",_xlfn.CONCAT(CHAR(10),"; ",AF26)))</f>
        <v/>
      </c>
      <c r="AD26" s="124" t="str">
        <f t="shared" si="12"/>
        <v/>
      </c>
      <c r="AE26" s="19">
        <f t="shared" si="4"/>
        <v>0</v>
      </c>
      <c r="AF26" s="156"/>
    </row>
    <row r="27" spans="2:32" s="9" customFormat="1" ht="13">
      <c r="B27" s="6">
        <f t="shared" si="5"/>
        <v>44585</v>
      </c>
      <c r="C27" s="45">
        <f>SMALL(Daten!W:W,COUNTIF(Daten!W:W,"&lt;"&amp;Stundenaufzeichnung!B27+1))</f>
        <v>44578</v>
      </c>
      <c r="D27" s="45" t="str">
        <f t="shared" si="0"/>
        <v/>
      </c>
      <c r="E27" s="8">
        <f t="shared" si="1"/>
        <v>3</v>
      </c>
      <c r="F27" s="8">
        <f t="shared" si="6"/>
        <v>1</v>
      </c>
      <c r="G27" s="8">
        <f>IF(B27="","",VLOOKUP(E27,Datenblatt!$L$2:$N$8,3,FALSE))</f>
        <v>0</v>
      </c>
      <c r="H27" s="8" t="str">
        <f t="shared" si="7"/>
        <v/>
      </c>
      <c r="I27" s="11" t="str">
        <f>IFERROR(VLOOKUP(B27,Datenblatt!$E:$F,2,FALSE),"")</f>
        <v/>
      </c>
      <c r="J27" s="113"/>
      <c r="K27" s="19">
        <f>IF(B27&lt;Datenblatt!$B$9,"",IF(B27="","",IF(G27=0,Datenblatt!$B$7,"")))</f>
        <v>6.67</v>
      </c>
      <c r="L27" s="19" t="str">
        <f t="shared" si="8"/>
        <v/>
      </c>
      <c r="M27" s="124" t="str">
        <f t="shared" si="9"/>
        <v/>
      </c>
      <c r="N27" s="124" t="str">
        <f>IF(AND(L27=Datenblatt!$B$7,NOT(L26=Datenblatt!$B$7),NOT(L28=Datenblatt!$B$7)),"y",IF(AND(L27=Datenblatt!$B$7,L28=Datenblatt!$B$7,NOT(L26=Datenblatt!$B$7)),"a",IF(AND(L27=Datenblatt!$B$7,L26=Datenblatt!$B$7,NOT(L28=Datenblatt!$B$7)),"b","")))</f>
        <v/>
      </c>
      <c r="O27" s="19" t="str">
        <f t="shared" si="10"/>
        <v/>
      </c>
      <c r="P27" s="124" t="str">
        <f>IF(AND(M27=Datenblatt!$B$7,NOT(M26=Datenblatt!$B$7),NOT(M28=Datenblatt!$B$7)),"y",IF(AND(M27=Datenblatt!$B$7,M28=Datenblatt!$B$7,NOT(M26=Datenblatt!$B$7)),"a",IF(AND(M27=Datenblatt!$B$7,M26=Datenblatt!$B$7,NOT(M28=Datenblatt!$B$7)),"b","")))</f>
        <v/>
      </c>
      <c r="Q27" s="19" t="str">
        <f t="shared" si="11"/>
        <v/>
      </c>
      <c r="R27" s="124" t="str">
        <f>IF(I27="","",IF(AND(OR(J27="Krankenstand",J27="Urlaub",J27=""), AND(G27=0,NOT(I27=""))),Datenblatt!$B$7,""))</f>
        <v/>
      </c>
      <c r="S27" s="19" t="str">
        <f>IF(OR(J27="Krankenstand",J27="Urlaub"),"",IF(J27="","",VLOOKUP(D27,Dienste!C:W,21,)))</f>
        <v/>
      </c>
      <c r="T27" s="18" t="str">
        <f>IF(OR(J27="Krankenstand",J27="Urlaub"),"",IF(J27="","",VLOOKUP(D27,Dienste!C:W,5,)))</f>
        <v/>
      </c>
      <c r="U27" s="18" t="str">
        <f>IF(OR(J27="Krankenstand",J27="Urlaub"),"",IF(J27="","",VLOOKUP(D27,Dienste!C:W,6,)))</f>
        <v/>
      </c>
      <c r="V27" s="18" t="str">
        <f>IF(OR(J27="Krankenstand",J27="Urlaub"),"",IF(J27="","",VLOOKUP(D27,Dienste!C:W,7,)))</f>
        <v/>
      </c>
      <c r="W27" s="18" t="str">
        <f>IF(OR(J27="Krankenstand",J27="Urlaub"),"",IF(J27="","",VLOOKUP(D27,Dienste!C:W,11,)))</f>
        <v/>
      </c>
      <c r="X27" s="18" t="str">
        <f>IF(OR(J27="Krankenstand",J27="Urlaub"),"",IF(J27="","",VLOOKUP(D27,Dienste!C:W,12,)))</f>
        <v/>
      </c>
      <c r="Y27" s="19" t="str">
        <f>IF(OR(J27="Krankenstand",J27="Urlaub"),"",IF(J27="","",VLOOKUP(D27,Dienste!C:W,14,)))</f>
        <v/>
      </c>
      <c r="Z27" s="20" t="str">
        <f>IF(OR(J27="Krankenstand",J27="Urlaub"),"",IF(J27="","",VLOOKUP(D27,Dienste!C:W,15,)))</f>
        <v/>
      </c>
      <c r="AA27" s="124" t="str">
        <f t="shared" si="2"/>
        <v/>
      </c>
      <c r="AB27" s="19" t="str">
        <f t="shared" si="3"/>
        <v/>
      </c>
      <c r="AC27" s="126" t="str">
        <f>_xlfn.CONCAT(_xlfn.CONCAT(IF(I27="","",_xlfn.CONCAT("FT: ",I27,IF(J27="","","; "))),IF(B27&lt;Datenblatt!$B$9,"",IF(B27="","",IF(NOT(J27=""),SUBSTITUTE(SUBSTITUTE(SUBSTITUTE(J27," mR","")," oR","")," O",""),"")))),IF(AF27="","",_xlfn.CONCAT(CHAR(10),"; ",AF27)))</f>
        <v/>
      </c>
      <c r="AD27" s="124" t="str">
        <f t="shared" si="12"/>
        <v/>
      </c>
      <c r="AE27" s="19">
        <f t="shared" si="4"/>
        <v>0</v>
      </c>
      <c r="AF27" s="156"/>
    </row>
    <row r="28" spans="2:32" s="9" customFormat="1" ht="13">
      <c r="B28" s="6">
        <f t="shared" si="5"/>
        <v>44586</v>
      </c>
      <c r="C28" s="45">
        <f>SMALL(Daten!W:W,COUNTIF(Daten!W:W,"&lt;"&amp;Stundenaufzeichnung!B28+1))</f>
        <v>44578</v>
      </c>
      <c r="D28" s="45" t="str">
        <f t="shared" si="0"/>
        <v/>
      </c>
      <c r="E28" s="8">
        <f t="shared" si="1"/>
        <v>4</v>
      </c>
      <c r="F28" s="8">
        <f t="shared" si="6"/>
        <v>2</v>
      </c>
      <c r="G28" s="8">
        <f>IF(B28="","",VLOOKUP(E28,Datenblatt!$L$2:$N$8,3,FALSE))</f>
        <v>0</v>
      </c>
      <c r="H28" s="8" t="str">
        <f t="shared" si="7"/>
        <v/>
      </c>
      <c r="I28" s="11" t="str">
        <f>IFERROR(VLOOKUP(B28,Datenblatt!$E:$F,2,FALSE),"")</f>
        <v/>
      </c>
      <c r="J28" s="113"/>
      <c r="K28" s="19">
        <f>IF(B28&lt;Datenblatt!$B$9,"",IF(B28="","",IF(G28=0,Datenblatt!$B$7,"")))</f>
        <v>6.67</v>
      </c>
      <c r="L28" s="19" t="str">
        <f t="shared" si="8"/>
        <v/>
      </c>
      <c r="M28" s="124" t="str">
        <f t="shared" si="9"/>
        <v/>
      </c>
      <c r="N28" s="124" t="str">
        <f>IF(AND(L28=Datenblatt!$B$7,NOT(L27=Datenblatt!$B$7),NOT(L29=Datenblatt!$B$7)),"y",IF(AND(L28=Datenblatt!$B$7,L29=Datenblatt!$B$7,NOT(L27=Datenblatt!$B$7)),"a",IF(AND(L28=Datenblatt!$B$7,L27=Datenblatt!$B$7,NOT(L29=Datenblatt!$B$7)),"b","")))</f>
        <v/>
      </c>
      <c r="O28" s="19" t="str">
        <f t="shared" si="10"/>
        <v/>
      </c>
      <c r="P28" s="124" t="str">
        <f>IF(AND(M28=Datenblatt!$B$7,NOT(M27=Datenblatt!$B$7),NOT(M29=Datenblatt!$B$7)),"y",IF(AND(M28=Datenblatt!$B$7,M29=Datenblatt!$B$7,NOT(M27=Datenblatt!$B$7)),"a",IF(AND(M28=Datenblatt!$B$7,M27=Datenblatt!$B$7,NOT(M29=Datenblatt!$B$7)),"b","")))</f>
        <v/>
      </c>
      <c r="Q28" s="19" t="str">
        <f t="shared" si="11"/>
        <v/>
      </c>
      <c r="R28" s="124" t="str">
        <f>IF(I28="","",IF(AND(OR(J28="Krankenstand",J28="Urlaub",J28=""), AND(G28=0,NOT(I28=""))),Datenblatt!$B$7,""))</f>
        <v/>
      </c>
      <c r="S28" s="19" t="str">
        <f>IF(OR(J28="Krankenstand",J28="Urlaub"),"",IF(J28="","",VLOOKUP(D28,Dienste!C:W,21,)))</f>
        <v/>
      </c>
      <c r="T28" s="18" t="str">
        <f>IF(OR(J28="Krankenstand",J28="Urlaub"),"",IF(J28="","",VLOOKUP(D28,Dienste!C:W,5,)))</f>
        <v/>
      </c>
      <c r="U28" s="18" t="str">
        <f>IF(OR(J28="Krankenstand",J28="Urlaub"),"",IF(J28="","",VLOOKUP(D28,Dienste!C:W,6,)))</f>
        <v/>
      </c>
      <c r="V28" s="18" t="str">
        <f>IF(OR(J28="Krankenstand",J28="Urlaub"),"",IF(J28="","",VLOOKUP(D28,Dienste!C:W,7,)))</f>
        <v/>
      </c>
      <c r="W28" s="18" t="str">
        <f>IF(OR(J28="Krankenstand",J28="Urlaub"),"",IF(J28="","",VLOOKUP(D28,Dienste!C:W,11,)))</f>
        <v/>
      </c>
      <c r="X28" s="18" t="str">
        <f>IF(OR(J28="Krankenstand",J28="Urlaub"),"",IF(J28="","",VLOOKUP(D28,Dienste!C:W,12,)))</f>
        <v/>
      </c>
      <c r="Y28" s="19" t="str">
        <f>IF(OR(J28="Krankenstand",J28="Urlaub"),"",IF(J28="","",VLOOKUP(D28,Dienste!C:W,14,)))</f>
        <v/>
      </c>
      <c r="Z28" s="20" t="str">
        <f>IF(OR(J28="Krankenstand",J28="Urlaub"),"",IF(J28="","",VLOOKUP(D28,Dienste!C:W,15,)))</f>
        <v/>
      </c>
      <c r="AA28" s="124" t="str">
        <f t="shared" si="2"/>
        <v/>
      </c>
      <c r="AB28" s="19" t="str">
        <f t="shared" si="3"/>
        <v/>
      </c>
      <c r="AC28" s="126" t="str">
        <f>_xlfn.CONCAT(_xlfn.CONCAT(IF(I28="","",_xlfn.CONCAT("FT: ",I28,IF(J28="","","; "))),IF(B28&lt;Datenblatt!$B$9,"",IF(B28="","",IF(NOT(J28=""),SUBSTITUTE(SUBSTITUTE(SUBSTITUTE(J28," mR","")," oR","")," O",""),"")))),IF(AF28="","",_xlfn.CONCAT(CHAR(10),"; ",AF28)))</f>
        <v/>
      </c>
      <c r="AD28" s="124" t="str">
        <f t="shared" si="12"/>
        <v/>
      </c>
      <c r="AE28" s="19">
        <f t="shared" si="4"/>
        <v>0</v>
      </c>
      <c r="AF28" s="156"/>
    </row>
    <row r="29" spans="2:32" s="9" customFormat="1" ht="13">
      <c r="B29" s="6">
        <f t="shared" si="5"/>
        <v>44587</v>
      </c>
      <c r="C29" s="45">
        <f>SMALL(Daten!W:W,COUNTIF(Daten!W:W,"&lt;"&amp;Stundenaufzeichnung!B29+1))</f>
        <v>44578</v>
      </c>
      <c r="D29" s="45" t="str">
        <f t="shared" si="0"/>
        <v/>
      </c>
      <c r="E29" s="8">
        <f t="shared" si="1"/>
        <v>5</v>
      </c>
      <c r="F29" s="8">
        <f t="shared" si="6"/>
        <v>3</v>
      </c>
      <c r="G29" s="8">
        <f>IF(B29="","",VLOOKUP(E29,Datenblatt!$L$2:$N$8,3,FALSE))</f>
        <v>0</v>
      </c>
      <c r="H29" s="8" t="str">
        <f t="shared" si="7"/>
        <v/>
      </c>
      <c r="I29" s="11" t="str">
        <f>IFERROR(VLOOKUP(B29,Datenblatt!$E:$F,2,FALSE),"")</f>
        <v/>
      </c>
      <c r="J29" s="113"/>
      <c r="K29" s="19">
        <f>IF(B29&lt;Datenblatt!$B$9,"",IF(B29="","",IF(G29=0,Datenblatt!$B$7,"")))</f>
        <v>6.67</v>
      </c>
      <c r="L29" s="19" t="str">
        <f t="shared" si="8"/>
        <v/>
      </c>
      <c r="M29" s="124" t="str">
        <f t="shared" si="9"/>
        <v/>
      </c>
      <c r="N29" s="124" t="str">
        <f>IF(AND(L29=Datenblatt!$B$7,NOT(L28=Datenblatt!$B$7),NOT(L30=Datenblatt!$B$7)),"y",IF(AND(L29=Datenblatt!$B$7,L30=Datenblatt!$B$7,NOT(L28=Datenblatt!$B$7)),"a",IF(AND(L29=Datenblatt!$B$7,L28=Datenblatt!$B$7,NOT(L30=Datenblatt!$B$7)),"b","")))</f>
        <v/>
      </c>
      <c r="O29" s="19" t="str">
        <f t="shared" si="10"/>
        <v/>
      </c>
      <c r="P29" s="124" t="str">
        <f>IF(AND(M29=Datenblatt!$B$7,NOT(M28=Datenblatt!$B$7),NOT(M30=Datenblatt!$B$7)),"y",IF(AND(M29=Datenblatt!$B$7,M30=Datenblatt!$B$7,NOT(M28=Datenblatt!$B$7)),"a",IF(AND(M29=Datenblatt!$B$7,M28=Datenblatt!$B$7,NOT(M30=Datenblatt!$B$7)),"b","")))</f>
        <v/>
      </c>
      <c r="Q29" s="19" t="str">
        <f t="shared" si="11"/>
        <v/>
      </c>
      <c r="R29" s="124" t="str">
        <f>IF(I29="","",IF(AND(OR(J29="Krankenstand",J29="Urlaub",J29=""), AND(G29=0,NOT(I29=""))),Datenblatt!$B$7,""))</f>
        <v/>
      </c>
      <c r="S29" s="19" t="str">
        <f>IF(OR(J29="Krankenstand",J29="Urlaub"),"",IF(J29="","",VLOOKUP(D29,Dienste!C:W,21,)))</f>
        <v/>
      </c>
      <c r="T29" s="18" t="str">
        <f>IF(OR(J29="Krankenstand",J29="Urlaub"),"",IF(J29="","",VLOOKUP(D29,Dienste!C:W,5,)))</f>
        <v/>
      </c>
      <c r="U29" s="18" t="str">
        <f>IF(OR(J29="Krankenstand",J29="Urlaub"),"",IF(J29="","",VLOOKUP(D29,Dienste!C:W,6,)))</f>
        <v/>
      </c>
      <c r="V29" s="18" t="str">
        <f>IF(OR(J29="Krankenstand",J29="Urlaub"),"",IF(J29="","",VLOOKUP(D29,Dienste!C:W,7,)))</f>
        <v/>
      </c>
      <c r="W29" s="18" t="str">
        <f>IF(OR(J29="Krankenstand",J29="Urlaub"),"",IF(J29="","",VLOOKUP(D29,Dienste!C:W,11,)))</f>
        <v/>
      </c>
      <c r="X29" s="18" t="str">
        <f>IF(OR(J29="Krankenstand",J29="Urlaub"),"",IF(J29="","",VLOOKUP(D29,Dienste!C:W,12,)))</f>
        <v/>
      </c>
      <c r="Y29" s="19" t="str">
        <f>IF(OR(J29="Krankenstand",J29="Urlaub"),"",IF(J29="","",VLOOKUP(D29,Dienste!C:W,14,)))</f>
        <v/>
      </c>
      <c r="Z29" s="20" t="str">
        <f>IF(OR(J29="Krankenstand",J29="Urlaub"),"",IF(J29="","",VLOOKUP(D29,Dienste!C:W,15,)))</f>
        <v/>
      </c>
      <c r="AA29" s="124" t="str">
        <f t="shared" si="2"/>
        <v/>
      </c>
      <c r="AB29" s="19" t="str">
        <f t="shared" si="3"/>
        <v/>
      </c>
      <c r="AC29" s="126" t="str">
        <f>_xlfn.CONCAT(_xlfn.CONCAT(IF(I29="","",_xlfn.CONCAT("FT: ",I29,IF(J29="","","; "))),IF(B29&lt;Datenblatt!$B$9,"",IF(B29="","",IF(NOT(J29=""),SUBSTITUTE(SUBSTITUTE(SUBSTITUTE(J29," mR","")," oR","")," O",""),"")))),IF(AF29="","",_xlfn.CONCAT(CHAR(10),"; ",AF29)))</f>
        <v/>
      </c>
      <c r="AD29" s="124" t="str">
        <f t="shared" si="12"/>
        <v/>
      </c>
      <c r="AE29" s="19">
        <f t="shared" si="4"/>
        <v>0</v>
      </c>
      <c r="AF29" s="156"/>
    </row>
    <row r="30" spans="2:32" s="9" customFormat="1" ht="13">
      <c r="B30" s="6">
        <f t="shared" si="5"/>
        <v>44588</v>
      </c>
      <c r="C30" s="45">
        <f>SMALL(Daten!W:W,COUNTIF(Daten!W:W,"&lt;"&amp;Stundenaufzeichnung!B30+1))</f>
        <v>44578</v>
      </c>
      <c r="D30" s="45" t="str">
        <f t="shared" si="0"/>
        <v/>
      </c>
      <c r="E30" s="8">
        <f t="shared" si="1"/>
        <v>6</v>
      </c>
      <c r="F30" s="8">
        <f t="shared" si="6"/>
        <v>4</v>
      </c>
      <c r="G30" s="8">
        <f>IF(B30="","",VLOOKUP(E30,Datenblatt!$L$2:$N$8,3,FALSE))</f>
        <v>0</v>
      </c>
      <c r="H30" s="8" t="str">
        <f t="shared" si="7"/>
        <v/>
      </c>
      <c r="I30" s="11" t="str">
        <f>IFERROR(VLOOKUP(B30,Datenblatt!$E:$F,2,FALSE),"")</f>
        <v/>
      </c>
      <c r="J30" s="113"/>
      <c r="K30" s="19">
        <f>IF(B30&lt;Datenblatt!$B$9,"",IF(B30="","",IF(G30=0,Datenblatt!$B$7,"")))</f>
        <v>6.67</v>
      </c>
      <c r="L30" s="19" t="str">
        <f t="shared" si="8"/>
        <v/>
      </c>
      <c r="M30" s="124" t="str">
        <f t="shared" si="9"/>
        <v/>
      </c>
      <c r="N30" s="124" t="str">
        <f>IF(AND(L30=Datenblatt!$B$7,NOT(L29=Datenblatt!$B$7),NOT(L31=Datenblatt!$B$7)),"y",IF(AND(L30=Datenblatt!$B$7,L31=Datenblatt!$B$7,NOT(L29=Datenblatt!$B$7)),"a",IF(AND(L30=Datenblatt!$B$7,L29=Datenblatt!$B$7,NOT(L31=Datenblatt!$B$7)),"b","")))</f>
        <v/>
      </c>
      <c r="O30" s="19" t="str">
        <f t="shared" si="10"/>
        <v/>
      </c>
      <c r="P30" s="124" t="str">
        <f>IF(AND(M30=Datenblatt!$B$7,NOT(M29=Datenblatt!$B$7),NOT(M31=Datenblatt!$B$7)),"y",IF(AND(M30=Datenblatt!$B$7,M31=Datenblatt!$B$7,NOT(M29=Datenblatt!$B$7)),"a",IF(AND(M30=Datenblatt!$B$7,M29=Datenblatt!$B$7,NOT(M31=Datenblatt!$B$7)),"b","")))</f>
        <v/>
      </c>
      <c r="Q30" s="19" t="str">
        <f t="shared" si="11"/>
        <v/>
      </c>
      <c r="R30" s="124" t="str">
        <f>IF(I30="","",IF(AND(OR(J30="Krankenstand",J30="Urlaub",J30=""), AND(G30=0,NOT(I30=""))),Datenblatt!$B$7,""))</f>
        <v/>
      </c>
      <c r="S30" s="19" t="str">
        <f>IF(OR(J30="Krankenstand",J30="Urlaub"),"",IF(J30="","",VLOOKUP(D30,Dienste!C:W,21,)))</f>
        <v/>
      </c>
      <c r="T30" s="18" t="str">
        <f>IF(OR(J30="Krankenstand",J30="Urlaub"),"",IF(J30="","",VLOOKUP(D30,Dienste!C:W,5,)))</f>
        <v/>
      </c>
      <c r="U30" s="18" t="str">
        <f>IF(OR(J30="Krankenstand",J30="Urlaub"),"",IF(J30="","",VLOOKUP(D30,Dienste!C:W,6,)))</f>
        <v/>
      </c>
      <c r="V30" s="18" t="str">
        <f>IF(OR(J30="Krankenstand",J30="Urlaub"),"",IF(J30="","",VLOOKUP(D30,Dienste!C:W,7,)))</f>
        <v/>
      </c>
      <c r="W30" s="18" t="str">
        <f>IF(OR(J30="Krankenstand",J30="Urlaub"),"",IF(J30="","",VLOOKUP(D30,Dienste!C:W,11,)))</f>
        <v/>
      </c>
      <c r="X30" s="18" t="str">
        <f>IF(OR(J30="Krankenstand",J30="Urlaub"),"",IF(J30="","",VLOOKUP(D30,Dienste!C:W,12,)))</f>
        <v/>
      </c>
      <c r="Y30" s="19" t="str">
        <f>IF(OR(J30="Krankenstand",J30="Urlaub"),"",IF(J30="","",VLOOKUP(D30,Dienste!C:W,14,)))</f>
        <v/>
      </c>
      <c r="Z30" s="20" t="str">
        <f>IF(OR(J30="Krankenstand",J30="Urlaub"),"",IF(J30="","",VLOOKUP(D30,Dienste!C:W,15,)))</f>
        <v/>
      </c>
      <c r="AA30" s="124" t="str">
        <f t="shared" si="2"/>
        <v/>
      </c>
      <c r="AB30" s="19" t="str">
        <f t="shared" si="3"/>
        <v/>
      </c>
      <c r="AC30" s="126" t="str">
        <f>_xlfn.CONCAT(_xlfn.CONCAT(IF(I30="","",_xlfn.CONCAT("FT: ",I30,IF(J30="","","; "))),IF(B30&lt;Datenblatt!$B$9,"",IF(B30="","",IF(NOT(J30=""),SUBSTITUTE(SUBSTITUTE(SUBSTITUTE(J30," mR","")," oR","")," O",""),"")))),IF(AF30="","",_xlfn.CONCAT(CHAR(10),"; ",AF30)))</f>
        <v/>
      </c>
      <c r="AD30" s="124" t="str">
        <f t="shared" si="12"/>
        <v/>
      </c>
      <c r="AE30" s="19">
        <f t="shared" si="4"/>
        <v>0</v>
      </c>
      <c r="AF30" s="156"/>
    </row>
    <row r="31" spans="2:32" s="9" customFormat="1" ht="13">
      <c r="B31" s="6">
        <f t="shared" si="5"/>
        <v>44589</v>
      </c>
      <c r="C31" s="45">
        <f>SMALL(Daten!W:W,COUNTIF(Daten!W:W,"&lt;"&amp;Stundenaufzeichnung!B31+1))</f>
        <v>44578</v>
      </c>
      <c r="D31" s="45" t="str">
        <f t="shared" si="0"/>
        <v/>
      </c>
      <c r="E31" s="8">
        <f t="shared" si="1"/>
        <v>7</v>
      </c>
      <c r="F31" s="8">
        <f t="shared" si="6"/>
        <v>5</v>
      </c>
      <c r="G31" s="8">
        <f>IF(B31="","",VLOOKUP(E31,Datenblatt!$L$2:$N$8,3,FALSE))</f>
        <v>0</v>
      </c>
      <c r="H31" s="8" t="str">
        <f t="shared" si="7"/>
        <v/>
      </c>
      <c r="I31" s="11" t="str">
        <f>IFERROR(VLOOKUP(B31,Datenblatt!$E:$F,2,FALSE),"")</f>
        <v/>
      </c>
      <c r="J31" s="113"/>
      <c r="K31" s="19">
        <f>IF(B31&lt;Datenblatt!$B$9,"",IF(B31="","",IF(G31=0,Datenblatt!$B$7,"")))</f>
        <v>6.67</v>
      </c>
      <c r="L31" s="19" t="str">
        <f t="shared" si="8"/>
        <v/>
      </c>
      <c r="M31" s="124" t="str">
        <f t="shared" si="9"/>
        <v/>
      </c>
      <c r="N31" s="124" t="str">
        <f>IF(AND(L31=Datenblatt!$B$7,NOT(L30=Datenblatt!$B$7),NOT(L32=Datenblatt!$B$7)),"y",IF(AND(L31=Datenblatt!$B$7,L32=Datenblatt!$B$7,NOT(L30=Datenblatt!$B$7)),"a",IF(AND(L31=Datenblatt!$B$7,L30=Datenblatt!$B$7,NOT(L32=Datenblatt!$B$7)),"b","")))</f>
        <v/>
      </c>
      <c r="O31" s="19" t="str">
        <f t="shared" si="10"/>
        <v/>
      </c>
      <c r="P31" s="124" t="str">
        <f>IF(AND(M31=Datenblatt!$B$7,NOT(M30=Datenblatt!$B$7),NOT(M32=Datenblatt!$B$7)),"y",IF(AND(M31=Datenblatt!$B$7,M32=Datenblatt!$B$7,NOT(M30=Datenblatt!$B$7)),"a",IF(AND(M31=Datenblatt!$B$7,M30=Datenblatt!$B$7,NOT(M32=Datenblatt!$B$7)),"b","")))</f>
        <v/>
      </c>
      <c r="Q31" s="19" t="str">
        <f t="shared" si="11"/>
        <v/>
      </c>
      <c r="R31" s="124" t="str">
        <f>IF(I31="","",IF(AND(OR(J31="Krankenstand",J31="Urlaub",J31=""), AND(G31=0,NOT(I31=""))),Datenblatt!$B$7,""))</f>
        <v/>
      </c>
      <c r="S31" s="19" t="str">
        <f>IF(OR(J31="Krankenstand",J31="Urlaub"),"",IF(J31="","",VLOOKUP(D31,Dienste!C:W,21,)))</f>
        <v/>
      </c>
      <c r="T31" s="18" t="str">
        <f>IF(OR(J31="Krankenstand",J31="Urlaub"),"",IF(J31="","",VLOOKUP(D31,Dienste!C:W,5,)))</f>
        <v/>
      </c>
      <c r="U31" s="18" t="str">
        <f>IF(OR(J31="Krankenstand",J31="Urlaub"),"",IF(J31="","",VLOOKUP(D31,Dienste!C:W,6,)))</f>
        <v/>
      </c>
      <c r="V31" s="18" t="str">
        <f>IF(OR(J31="Krankenstand",J31="Urlaub"),"",IF(J31="","",VLOOKUP(D31,Dienste!C:W,7,)))</f>
        <v/>
      </c>
      <c r="W31" s="18" t="str">
        <f>IF(OR(J31="Krankenstand",J31="Urlaub"),"",IF(J31="","",VLOOKUP(D31,Dienste!C:W,11,)))</f>
        <v/>
      </c>
      <c r="X31" s="18" t="str">
        <f>IF(OR(J31="Krankenstand",J31="Urlaub"),"",IF(J31="","",VLOOKUP(D31,Dienste!C:W,12,)))</f>
        <v/>
      </c>
      <c r="Y31" s="19" t="str">
        <f>IF(OR(J31="Krankenstand",J31="Urlaub"),"",IF(J31="","",VLOOKUP(D31,Dienste!C:W,14,)))</f>
        <v/>
      </c>
      <c r="Z31" s="20" t="str">
        <f>IF(OR(J31="Krankenstand",J31="Urlaub"),"",IF(J31="","",VLOOKUP(D31,Dienste!C:W,15,)))</f>
        <v/>
      </c>
      <c r="AA31" s="124" t="str">
        <f t="shared" si="2"/>
        <v/>
      </c>
      <c r="AB31" s="19" t="str">
        <f t="shared" si="3"/>
        <v/>
      </c>
      <c r="AC31" s="126" t="str">
        <f>_xlfn.CONCAT(_xlfn.CONCAT(IF(I31="","",_xlfn.CONCAT("FT: ",I31,IF(J31="","","; "))),IF(B31&lt;Datenblatt!$B$9,"",IF(B31="","",IF(NOT(J31=""),SUBSTITUTE(SUBSTITUTE(SUBSTITUTE(J31," mR","")," oR","")," O",""),"")))),IF(AF31="","",_xlfn.CONCAT(CHAR(10),"; ",AF31)))</f>
        <v/>
      </c>
      <c r="AD31" s="124" t="str">
        <f t="shared" si="12"/>
        <v/>
      </c>
      <c r="AE31" s="19">
        <f t="shared" si="4"/>
        <v>0</v>
      </c>
      <c r="AF31" s="156"/>
    </row>
    <row r="32" spans="2:32" s="9" customFormat="1" ht="13">
      <c r="B32" s="6">
        <f>IF(B31="","",IF(DAY(B31+1)&lt;29,"",B31+1))</f>
        <v>44590</v>
      </c>
      <c r="C32" s="45">
        <f>SMALL(Daten!W:W,COUNTIF(Daten!W:W,"&lt;"&amp;Stundenaufzeichnung!B32+1))</f>
        <v>44578</v>
      </c>
      <c r="D32" s="45" t="str">
        <f t="shared" si="0"/>
        <v/>
      </c>
      <c r="E32" s="8">
        <f t="shared" si="1"/>
        <v>1</v>
      </c>
      <c r="F32" s="8">
        <f>IF(B32="","",MOD(E32+$F$3,7)+1)</f>
        <v>6</v>
      </c>
      <c r="G32" s="8">
        <f>IF(B32="","",VLOOKUP(E32,Datenblatt!$L$2:$N$8,3,FALSE))</f>
        <v>0</v>
      </c>
      <c r="H32" s="8" t="str">
        <f t="shared" si="7"/>
        <v/>
      </c>
      <c r="I32" s="11" t="str">
        <f>IFERROR(VLOOKUP(B32,Datenblatt!$E:$F,2,FALSE),"")</f>
        <v/>
      </c>
      <c r="J32" s="113"/>
      <c r="K32" s="19">
        <f>IF(B32&lt;Datenblatt!$B$9,"",IF(B32="","",IF(G32=0,Datenblatt!$B$7,"")))</f>
        <v>6.67</v>
      </c>
      <c r="L32" s="19" t="str">
        <f t="shared" si="8"/>
        <v/>
      </c>
      <c r="M32" s="124" t="str">
        <f t="shared" si="9"/>
        <v/>
      </c>
      <c r="N32" s="124" t="str">
        <f>IF(AND(L32=Datenblatt!$B$7,NOT(L31=Datenblatt!$B$7),NOT(L33=Datenblatt!$B$7)),"y",IF(AND(L32=Datenblatt!$B$7,L33=Datenblatt!$B$7,NOT(L31=Datenblatt!$B$7)),"a",IF(AND(L32=Datenblatt!$B$7,L31=Datenblatt!$B$7,NOT(L33=Datenblatt!$B$7)),"b","")))</f>
        <v/>
      </c>
      <c r="O32" s="19" t="str">
        <f t="shared" si="10"/>
        <v/>
      </c>
      <c r="P32" s="124" t="str">
        <f>IF(AND(M32=Datenblatt!$B$7,NOT(M31=Datenblatt!$B$7),NOT(M33=Datenblatt!$B$7)),"y",IF(AND(M32=Datenblatt!$B$7,M33=Datenblatt!$B$7,NOT(M31=Datenblatt!$B$7)),"a",IF(AND(M32=Datenblatt!$B$7,M31=Datenblatt!$B$7,NOT(M33=Datenblatt!$B$7)),"b","")))</f>
        <v/>
      </c>
      <c r="Q32" s="19" t="str">
        <f t="shared" si="11"/>
        <v/>
      </c>
      <c r="R32" s="124" t="str">
        <f>IF(I32="","",IF(AND(OR(J32="Krankenstand",J32="Urlaub",J32=""), AND(G32=0,NOT(I32=""))),Datenblatt!$B$7,""))</f>
        <v/>
      </c>
      <c r="S32" s="19" t="str">
        <f>IF(OR(J32="Krankenstand",J32="Urlaub"),"",IF(J32="","",VLOOKUP(D32,Dienste!C:W,21,)))</f>
        <v/>
      </c>
      <c r="T32" s="18" t="str">
        <f>IF(OR(J32="Krankenstand",J32="Urlaub"),"",IF(J32="","",VLOOKUP(D32,Dienste!C:W,5,)))</f>
        <v/>
      </c>
      <c r="U32" s="18" t="str">
        <f>IF(OR(J32="Krankenstand",J32="Urlaub"),"",IF(J32="","",VLOOKUP(D32,Dienste!C:W,6,)))</f>
        <v/>
      </c>
      <c r="V32" s="18" t="str">
        <f>IF(OR(J32="Krankenstand",J32="Urlaub"),"",IF(J32="","",VLOOKUP(D32,Dienste!C:W,7,)))</f>
        <v/>
      </c>
      <c r="W32" s="18" t="str">
        <f>IF(OR(J32="Krankenstand",J32="Urlaub"),"",IF(J32="","",VLOOKUP(D32,Dienste!C:W,11,)))</f>
        <v/>
      </c>
      <c r="X32" s="18" t="str">
        <f>IF(OR(J32="Krankenstand",J32="Urlaub"),"",IF(J32="","",VLOOKUP(D32,Dienste!C:W,12,)))</f>
        <v/>
      </c>
      <c r="Y32" s="19" t="str">
        <f>IF(OR(J32="Krankenstand",J32="Urlaub"),"",IF(J32="","",VLOOKUP(D32,Dienste!C:W,14,)))</f>
        <v/>
      </c>
      <c r="Z32" s="20" t="str">
        <f>IF(OR(J32="Krankenstand",J32="Urlaub"),"",IF(J32="","",VLOOKUP(D32,Dienste!C:W,15,)))</f>
        <v/>
      </c>
      <c r="AA32" s="124" t="str">
        <f t="shared" si="2"/>
        <v/>
      </c>
      <c r="AB32" s="19" t="str">
        <f t="shared" si="3"/>
        <v/>
      </c>
      <c r="AC32" s="126" t="str">
        <f>_xlfn.CONCAT(_xlfn.CONCAT(IF(I32="","",_xlfn.CONCAT("FT: ",I32,IF(J32="","","; "))),IF(B32&lt;Datenblatt!$B$9,"",IF(B32="","",IF(NOT(J32=""),SUBSTITUTE(SUBSTITUTE(SUBSTITUTE(J32," mR","")," oR","")," O",""),"")))),IF(AF32="","",_xlfn.CONCAT(CHAR(10),"; ",AF32)))</f>
        <v/>
      </c>
      <c r="AD32" s="124" t="str">
        <f t="shared" si="12"/>
        <v/>
      </c>
      <c r="AE32" s="19">
        <f t="shared" si="4"/>
        <v>0</v>
      </c>
      <c r="AF32" s="156"/>
    </row>
    <row r="33" spans="1:32" s="9" customFormat="1" ht="13">
      <c r="B33" s="6">
        <f>IF(B32="","",IF(DAY(B32+1)&lt;30,"",B32+1))</f>
        <v>44591</v>
      </c>
      <c r="C33" s="45">
        <f>SMALL(Daten!W:W,COUNTIF(Daten!W:W,"&lt;"&amp;Stundenaufzeichnung!B33+1))</f>
        <v>44578</v>
      </c>
      <c r="D33" s="45" t="str">
        <f t="shared" si="0"/>
        <v/>
      </c>
      <c r="E33" s="8">
        <f t="shared" si="1"/>
        <v>2</v>
      </c>
      <c r="F33" s="8">
        <f>IF(B33="","",MOD(E33+$F$3,7)+1)</f>
        <v>7</v>
      </c>
      <c r="G33" s="8">
        <f>IF(B33="","",VLOOKUP(E33,Datenblatt!$L$2:$N$8,3,FALSE))</f>
        <v>1</v>
      </c>
      <c r="H33" s="8" t="str">
        <f t="shared" si="7"/>
        <v>x</v>
      </c>
      <c r="I33" s="11" t="str">
        <f>IFERROR(VLOOKUP(B33,Datenblatt!$E:$F,2,FALSE),"")</f>
        <v/>
      </c>
      <c r="J33" s="113"/>
      <c r="K33" s="19" t="str">
        <f>IF(B33&lt;Datenblatt!$B$9,"",IF(B33="","",IF(G33=0,Datenblatt!$B$7,"")))</f>
        <v/>
      </c>
      <c r="L33" s="19" t="str">
        <f t="shared" si="8"/>
        <v/>
      </c>
      <c r="M33" s="124" t="str">
        <f t="shared" si="9"/>
        <v/>
      </c>
      <c r="N33" s="124" t="str">
        <f>IF(AND(L33=Datenblatt!$B$7,NOT(L32=Datenblatt!$B$7),NOT(L34=Datenblatt!$B$7)),"y",IF(AND(L33=Datenblatt!$B$7,L34=Datenblatt!$B$7,NOT(L32=Datenblatt!$B$7)),"a",IF(AND(L33=Datenblatt!$B$7,L32=Datenblatt!$B$7,NOT(L34=Datenblatt!$B$7)),"b","")))</f>
        <v/>
      </c>
      <c r="O33" s="19" t="str">
        <f t="shared" si="10"/>
        <v/>
      </c>
      <c r="P33" s="124" t="str">
        <f>IF(AND(M33=Datenblatt!$B$7,NOT(M32=Datenblatt!$B$7),NOT(M34=Datenblatt!$B$7)),"y",IF(AND(M33=Datenblatt!$B$7,M34=Datenblatt!$B$7,NOT(M32=Datenblatt!$B$7)),"a",IF(AND(M33=Datenblatt!$B$7,M32=Datenblatt!$B$7,NOT(M34=Datenblatt!$B$7)),"b","")))</f>
        <v/>
      </c>
      <c r="Q33" s="19" t="str">
        <f t="shared" si="11"/>
        <v/>
      </c>
      <c r="R33" s="124" t="str">
        <f>IF(I33="","",IF(AND(OR(J33="Krankenstand",J33="Urlaub",J33=""), AND(G33=0,NOT(I33=""))),Datenblatt!$B$7,""))</f>
        <v/>
      </c>
      <c r="S33" s="19" t="str">
        <f>IF(OR(J33="Krankenstand",J33="Urlaub"),"",IF(J33="","",VLOOKUP(D33,Dienste!C:W,21,)))</f>
        <v/>
      </c>
      <c r="T33" s="18" t="str">
        <f>IF(OR(J33="Krankenstand",J33="Urlaub"),"",IF(J33="","",VLOOKUP(D33,Dienste!C:W,5,)))</f>
        <v/>
      </c>
      <c r="U33" s="18" t="str">
        <f>IF(OR(J33="Krankenstand",J33="Urlaub"),"",IF(J33="","",VLOOKUP(D33,Dienste!C:W,6,)))</f>
        <v/>
      </c>
      <c r="V33" s="18" t="str">
        <f>IF(OR(J33="Krankenstand",J33="Urlaub"),"",IF(J33="","",VLOOKUP(D33,Dienste!C:W,7,)))</f>
        <v/>
      </c>
      <c r="W33" s="18" t="str">
        <f>IF(OR(J33="Krankenstand",J33="Urlaub"),"",IF(J33="","",VLOOKUP(D33,Dienste!C:W,11,)))</f>
        <v/>
      </c>
      <c r="X33" s="18" t="str">
        <f>IF(OR(J33="Krankenstand",J33="Urlaub"),"",IF(J33="","",VLOOKUP(D33,Dienste!C:W,12,)))</f>
        <v/>
      </c>
      <c r="Y33" s="19" t="str">
        <f>IF(OR(J33="Krankenstand",J33="Urlaub"),"",IF(J33="","",VLOOKUP(D33,Dienste!C:W,14,)))</f>
        <v/>
      </c>
      <c r="Z33" s="20" t="str">
        <f>IF(OR(J33="Krankenstand",J33="Urlaub"),"",IF(J33="","",VLOOKUP(D33,Dienste!C:W,15,)))</f>
        <v/>
      </c>
      <c r="AA33" s="124" t="str">
        <f>IF(OR(Y33="",NOT(AB33="")),"",IF(AND(Y33&lt;AE34,AE34&gt;0),Y33,IF(AE34&gt;0,AE34,"")))</f>
        <v/>
      </c>
      <c r="AB33" s="19" t="str">
        <f t="shared" si="3"/>
        <v/>
      </c>
      <c r="AC33" s="126" t="str">
        <f>_xlfn.CONCAT(_xlfn.CONCAT(IF(I33="","",_xlfn.CONCAT("FT: ",I33,IF(J33="","","; "))),IF(B33&lt;Datenblatt!$B$9,"",IF(B33="","",IF(NOT(J33=""),SUBSTITUTE(SUBSTITUTE(SUBSTITUTE(J33," mR","")," oR","")," O",""),"")))),IF(AF33="","",_xlfn.CONCAT(CHAR(10),"; ",AF33)))</f>
        <v/>
      </c>
      <c r="AD33" s="124" t="str">
        <f t="shared" si="12"/>
        <v/>
      </c>
      <c r="AE33" s="19">
        <f t="shared" si="4"/>
        <v>0</v>
      </c>
      <c r="AF33" s="156"/>
    </row>
    <row r="34" spans="1:32" s="9" customFormat="1" ht="13">
      <c r="B34" s="28">
        <f>IF(B33="","",IF(DAY(B33+1)&lt;31,"",B33+1))</f>
        <v>44592</v>
      </c>
      <c r="C34" s="47">
        <f>SMALL(Daten!W:W,COUNTIF(Daten!W:W,"&lt;"&amp;Stundenaufzeichnung!B34+1))</f>
        <v>44578</v>
      </c>
      <c r="D34" s="47" t="str">
        <f t="shared" si="0"/>
        <v/>
      </c>
      <c r="E34" s="29">
        <f t="shared" si="1"/>
        <v>3</v>
      </c>
      <c r="F34" s="29">
        <f>IF(B34="","",MOD(E34+$F$3,7)+1)</f>
        <v>1</v>
      </c>
      <c r="G34" s="29">
        <f>IF(B34="","",VLOOKUP(E34,Datenblatt!$L$2:$N$8,3,FALSE))</f>
        <v>0</v>
      </c>
      <c r="H34" s="29" t="str">
        <f t="shared" si="7"/>
        <v/>
      </c>
      <c r="I34" s="123" t="str">
        <f>IFERROR(VLOOKUP(B34,Datenblatt!$E:$F,2,FALSE),"")</f>
        <v/>
      </c>
      <c r="J34" s="114"/>
      <c r="K34" s="30">
        <f>IF(B34&lt;Datenblatt!$B$9,"",IF(B34="","",IF(G34=0,Datenblatt!$B$7,"")))</f>
        <v>6.67</v>
      </c>
      <c r="L34" s="30" t="str">
        <f t="shared" si="8"/>
        <v/>
      </c>
      <c r="M34" s="30" t="str">
        <f t="shared" si="9"/>
        <v/>
      </c>
      <c r="N34" s="30" t="str">
        <f>IF(AND(L34=Datenblatt!$B$7,NOT(L33=Datenblatt!$B$7),NOT(L35=Datenblatt!$B$7)),"y",IF(AND(L34=Datenblatt!$B$7,L35=Datenblatt!$B$7,NOT(L33=Datenblatt!$B$7)),"a",IF(AND(L34=Datenblatt!$B$7,L33=Datenblatt!$B$7,NOT(L35=Datenblatt!$B$7)),"b","")))</f>
        <v/>
      </c>
      <c r="O34" s="30" t="str">
        <f t="shared" ref="O34" si="13">IF(N34="a",TEXT(B34,"TT.MM.")&amp;" - ",IF(OR(N34="b",N34="y"),TEXT(B34,"TT.MM.")&amp;"; ",""))</f>
        <v/>
      </c>
      <c r="P34" s="30" t="str">
        <f>IF(AND(M34=Datenblatt!$B$7,NOT(M33=Datenblatt!$B$7),NOT(M35=Datenblatt!$B$7)),"y",IF(AND(M34=Datenblatt!$B$7,M35=Datenblatt!$B$7,NOT(M33=Datenblatt!$B$7)),"a",IF(AND(M34=Datenblatt!$B$7,M33=Datenblatt!$B$7,NOT(M35=Datenblatt!$B$7)),"b","")))</f>
        <v/>
      </c>
      <c r="Q34" s="30" t="str">
        <f t="shared" ref="Q34" si="14">IF(P34="a",TEXT(B34,"TT.MM.")&amp;" - ",IF(OR(P34="b",P34="y"),TEXT(B34,"TT.MM.")&amp;"; ",""))</f>
        <v/>
      </c>
      <c r="R34" s="30" t="str">
        <f>IF(I34="","",IF(AND(OR(J34="Krankenstand",J34="Urlaub",J34=""), AND(G34=0,NOT(I34=""))),Datenblatt!$B$7,""))</f>
        <v/>
      </c>
      <c r="S34" s="30" t="str">
        <f>IF(OR(J34="Krankenstand",J34="Urlaub"),"",IF(J34="","",VLOOKUP(D34,Dienste!C:W,21,)))</f>
        <v/>
      </c>
      <c r="T34" s="31" t="str">
        <f>IF(OR(J34="Krankenstand",J34="Urlaub"),"",IF(J34="","",VLOOKUP(D34,Dienste!C:W,5,)))</f>
        <v/>
      </c>
      <c r="U34" s="31" t="str">
        <f>IF(OR(J34="Krankenstand",J34="Urlaub"),"",IF(J34="","",VLOOKUP(D34,Dienste!C:W,6,)))</f>
        <v/>
      </c>
      <c r="V34" s="31" t="str">
        <f>IF(OR(J34="Krankenstand",J34="Urlaub"),"",IF(J34="","",VLOOKUP(D34,Dienste!C:W,7,)))</f>
        <v/>
      </c>
      <c r="W34" s="31" t="str">
        <f>IF(OR(J34="Krankenstand",J34="Urlaub"),"",IF(J34="","",VLOOKUP(D34,Dienste!C:W,11,)))</f>
        <v/>
      </c>
      <c r="X34" s="31" t="str">
        <f>IF(OR(J34="Krankenstand",J34="Urlaub"),"",IF(J34="","",VLOOKUP(D34,Dienste!C:W,12,)))</f>
        <v/>
      </c>
      <c r="Y34" s="30" t="str">
        <f>IF(OR(J34="Krankenstand",J34="Urlaub"),"",IF(J34="","",VLOOKUP(D34,Dienste!C:W,14,)))</f>
        <v/>
      </c>
      <c r="Z34" s="32" t="str">
        <f>IF(OR(J34="Krankenstand",J34="Urlaub"),"",IF(J34="","",VLOOKUP(D34,Dienste!C:W,15,)))</f>
        <v/>
      </c>
      <c r="AA34" s="30" t="str">
        <f>IF(OR(Y34="",NOT(AB34="")),"",IF(AND(Y34&lt;AE35,AE35&gt;0),Y34,IF(AE35&gt;0,AE35,"")))</f>
        <v/>
      </c>
      <c r="AB34" s="30" t="str">
        <f t="shared" si="3"/>
        <v/>
      </c>
      <c r="AC34" s="125" t="str">
        <f>_xlfn.CONCAT(_xlfn.CONCAT(IF(I34="","",_xlfn.CONCAT("FT: ",I34,IF(J34="","","; "))),IF(B34&lt;Datenblatt!$B$9,"",IF(B34="","",IF(NOT(J34=""),SUBSTITUTE(SUBSTITUTE(SUBSTITUTE(J34," mR","")," oR","")," O",""),"")))),IF(AF34="","",_xlfn.CONCAT(CHAR(10),"; ",AF34)))</f>
        <v/>
      </c>
      <c r="AD34" s="30" t="str">
        <f t="shared" si="12"/>
        <v/>
      </c>
      <c r="AE34" s="30">
        <f>IF(OR(Y34="",NOT(AB34="")),AE35,AE35-Y34)</f>
        <v>0</v>
      </c>
      <c r="AF34" s="157"/>
    </row>
    <row r="35" spans="1:32" s="8" customFormat="1" ht="13">
      <c r="AA35" s="19">
        <f>IF(AD36-AB36-K36&lt;0,0,AD36-AB36-K36)</f>
        <v>0</v>
      </c>
      <c r="AC35" s="17" t="s">
        <v>193</v>
      </c>
      <c r="AE35" s="19">
        <f>AA35</f>
        <v>0</v>
      </c>
      <c r="AF35" s="17"/>
    </row>
    <row r="36" spans="1:32" s="8" customFormat="1" ht="13">
      <c r="B36" s="25" t="str">
        <f>"Summen "&amp;TEXT(B4,"MMMM")</f>
        <v>Summen Jänner</v>
      </c>
      <c r="C36" s="25"/>
      <c r="D36" s="25"/>
      <c r="E36" s="17"/>
      <c r="F36" s="17"/>
      <c r="G36" s="17"/>
      <c r="H36" s="17"/>
      <c r="I36" s="17"/>
      <c r="J36" s="17"/>
      <c r="K36" s="19">
        <f>SUM(K4:K34)</f>
        <v>173.41999999999993</v>
      </c>
      <c r="L36" s="19">
        <f t="shared" ref="L36:S36" si="15">SUM(L4:L34)</f>
        <v>0</v>
      </c>
      <c r="M36" s="19">
        <f t="shared" si="15"/>
        <v>0</v>
      </c>
      <c r="N36" s="19"/>
      <c r="O36" s="19" t="str">
        <f>IF(_xlfn.CONCAT(O4:O34)="","",REPLACE(_xlfn.CONCAT(O4:O34),LEN(_xlfn.CONCAT(O4:O34))-1,1,""))</f>
        <v/>
      </c>
      <c r="P36" s="19"/>
      <c r="Q36" s="19" t="str">
        <f t="shared" ref="Q36" si="16">IF(_xlfn.CONCAT(Q4:Q34)="","",REPLACE(_xlfn.CONCAT(Q4:Q34),LEN(_xlfn.CONCAT(Q4:Q34))-1,1,""))</f>
        <v/>
      </c>
      <c r="R36" s="19">
        <f t="shared" si="15"/>
        <v>13.34</v>
      </c>
      <c r="S36" s="19">
        <f t="shared" si="15"/>
        <v>0</v>
      </c>
      <c r="T36" s="19"/>
      <c r="U36" s="19"/>
      <c r="V36" s="19"/>
      <c r="W36" s="19"/>
      <c r="X36" s="17"/>
      <c r="Y36" s="19">
        <f>SUM(Y4:Y34)</f>
        <v>0</v>
      </c>
      <c r="Z36" s="20">
        <f>SUM(Z4:Z34)</f>
        <v>0</v>
      </c>
      <c r="AA36" s="26">
        <f>IF(AA35&gt;10,10,AA35)</f>
        <v>0</v>
      </c>
      <c r="AB36" s="19">
        <f t="shared" ref="AB36" si="17">SUM(AB4:AB34)</f>
        <v>0</v>
      </c>
      <c r="AC36" s="20">
        <f>R37</f>
        <v>2</v>
      </c>
      <c r="AD36" s="19">
        <f>SUM(AD4:AD34)</f>
        <v>13.34</v>
      </c>
      <c r="AE36" s="19"/>
      <c r="AF36" s="20"/>
    </row>
    <row r="37" spans="1:32" s="8" customFormat="1" ht="13">
      <c r="B37" s="25" t="str">
        <f>"Anzahl "&amp;TEXT(B4,"MMMM")</f>
        <v>Anzahl Jänner</v>
      </c>
      <c r="C37" s="25"/>
      <c r="D37" s="25"/>
      <c r="E37" s="17"/>
      <c r="F37" s="17"/>
      <c r="G37" s="17"/>
      <c r="H37" s="17"/>
      <c r="I37" s="17"/>
      <c r="J37" s="17"/>
      <c r="K37" s="17">
        <f>COUNT(K4:K34)</f>
        <v>26</v>
      </c>
      <c r="L37" s="17">
        <f t="shared" ref="L37:S37" si="18">COUNT(L4:L34)</f>
        <v>0</v>
      </c>
      <c r="M37" s="17">
        <f t="shared" si="18"/>
        <v>0</v>
      </c>
      <c r="N37" s="17"/>
      <c r="O37" s="17"/>
      <c r="P37" s="17"/>
      <c r="Q37" s="17"/>
      <c r="R37" s="17">
        <f t="shared" si="18"/>
        <v>2</v>
      </c>
      <c r="S37" s="17">
        <f t="shared" si="18"/>
        <v>0</v>
      </c>
      <c r="T37" s="17"/>
      <c r="U37" s="17"/>
      <c r="V37" s="17"/>
      <c r="W37" s="17"/>
      <c r="X37" s="17"/>
      <c r="Y37" s="17"/>
      <c r="Z37" s="17"/>
      <c r="AA37" s="27">
        <f>IF(AA35&gt;10,AA35-10,0)</f>
        <v>0</v>
      </c>
      <c r="AB37" s="17"/>
      <c r="AC37" s="17"/>
      <c r="AD37" s="17"/>
      <c r="AE37" s="17"/>
      <c r="AF37" s="17"/>
    </row>
    <row r="38" spans="1:32" s="8" customFormat="1" ht="13.5" thickBot="1">
      <c r="A38" s="10"/>
      <c r="B38" s="10"/>
      <c r="C38" s="10"/>
      <c r="D38" s="10"/>
      <c r="E38" s="10"/>
      <c r="F38" s="10"/>
      <c r="G38" s="10"/>
      <c r="H38" s="10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0"/>
      <c r="AB38" s="10"/>
      <c r="AC38" s="10"/>
      <c r="AD38" s="34"/>
      <c r="AE38" s="34"/>
      <c r="AF38" s="10"/>
    </row>
    <row r="40" spans="1:32" s="5" customFormat="1" ht="18.5">
      <c r="B40" s="33" t="s">
        <v>95</v>
      </c>
      <c r="C40" s="33"/>
      <c r="D40" s="33"/>
      <c r="E40" s="23"/>
      <c r="F40" s="23"/>
      <c r="G40" s="23"/>
      <c r="H40" s="23"/>
      <c r="I40" s="217" t="str">
        <f>Datenblatt!$B$4</f>
        <v>Dummy Name</v>
      </c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8" t="str">
        <f>TEXT(B43,"MMMM JJJJ")</f>
        <v>Februar 2022</v>
      </c>
      <c r="U40" s="218"/>
      <c r="V40" s="218"/>
      <c r="W40" s="218"/>
      <c r="X40" s="8"/>
      <c r="Y40" s="8"/>
      <c r="Z40" s="8"/>
    </row>
    <row r="41" spans="1:32" s="5" customFormat="1" ht="15" customHeight="1">
      <c r="I41" s="2"/>
      <c r="J41" s="2"/>
      <c r="K41" s="13"/>
      <c r="L41" s="13"/>
      <c r="M41" s="13"/>
      <c r="N41" s="13"/>
      <c r="O41" s="13"/>
      <c r="P41" s="13"/>
      <c r="Q41" s="13"/>
      <c r="R41" s="13"/>
      <c r="S41" s="13"/>
      <c r="T41" s="221" t="s">
        <v>43</v>
      </c>
      <c r="U41" s="221"/>
      <c r="V41" s="221" t="s">
        <v>45</v>
      </c>
      <c r="W41" s="221" t="s">
        <v>116</v>
      </c>
      <c r="X41" s="221" t="s">
        <v>11</v>
      </c>
      <c r="Y41" s="219" t="s">
        <v>194</v>
      </c>
      <c r="Z41" s="219" t="s">
        <v>7</v>
      </c>
      <c r="AA41" s="220" t="s">
        <v>49</v>
      </c>
      <c r="AB41" s="220"/>
      <c r="AC41" s="160"/>
      <c r="AD41" s="160"/>
    </row>
    <row r="42" spans="1:32" s="5" customFormat="1" ht="15" customHeight="1">
      <c r="B42" s="8"/>
      <c r="C42" s="8"/>
      <c r="D42" s="8" t="s">
        <v>161</v>
      </c>
      <c r="E42" s="8"/>
      <c r="F42" s="8">
        <f>VLOOKUP(Datenblatt!$B$8,Datenblatt!$J:$K,2,FALSE)</f>
        <v>4</v>
      </c>
      <c r="G42" s="8" t="s">
        <v>113</v>
      </c>
      <c r="H42" s="8"/>
      <c r="I42" s="12" t="s">
        <v>92</v>
      </c>
      <c r="J42" s="115" t="s">
        <v>12</v>
      </c>
      <c r="K42" s="12" t="s">
        <v>94</v>
      </c>
      <c r="L42" s="12" t="s">
        <v>85</v>
      </c>
      <c r="M42" s="12" t="s">
        <v>88</v>
      </c>
      <c r="N42" s="12" t="s">
        <v>117</v>
      </c>
      <c r="O42" s="12" t="s">
        <v>117</v>
      </c>
      <c r="P42" s="12" t="s">
        <v>118</v>
      </c>
      <c r="Q42" s="12" t="s">
        <v>118</v>
      </c>
      <c r="R42" s="12" t="s">
        <v>112</v>
      </c>
      <c r="S42" s="12" t="s">
        <v>115</v>
      </c>
      <c r="T42" s="15" t="s">
        <v>51</v>
      </c>
      <c r="U42" s="15" t="s">
        <v>50</v>
      </c>
      <c r="V42" s="222"/>
      <c r="W42" s="222"/>
      <c r="X42" s="222"/>
      <c r="Y42" s="219"/>
      <c r="Z42" s="219" t="s">
        <v>7</v>
      </c>
      <c r="AA42" s="21">
        <v>0.5</v>
      </c>
      <c r="AB42" s="16" t="s">
        <v>114</v>
      </c>
      <c r="AC42" s="16" t="s">
        <v>131</v>
      </c>
      <c r="AD42" s="16" t="s">
        <v>131</v>
      </c>
      <c r="AE42" s="128" t="s">
        <v>195</v>
      </c>
      <c r="AF42" s="16" t="s">
        <v>198</v>
      </c>
    </row>
    <row r="43" spans="1:32" s="9" customFormat="1" ht="13">
      <c r="A43" s="9">
        <f>A4+1</f>
        <v>2</v>
      </c>
      <c r="B43" s="6">
        <f>DATE(Datenblatt!$B$3,A43,1)</f>
        <v>44593</v>
      </c>
      <c r="C43" s="45">
        <f>SMALL(Daten!W:W,COUNTIF(Daten!W:W,"&lt;"&amp;Stundenaufzeichnung!B43+1))</f>
        <v>44578</v>
      </c>
      <c r="D43" s="45" t="str">
        <f t="shared" ref="D43:D73" si="19">IF(J43="","",CONCATENATE(C43," ",J43))</f>
        <v/>
      </c>
      <c r="E43" s="8">
        <f t="shared" ref="E43:E73" si="20">IF(B43="","",WEEKDAY(B43,16))</f>
        <v>4</v>
      </c>
      <c r="F43" s="8">
        <f>MOD(E43+$F$3,7)+1</f>
        <v>2</v>
      </c>
      <c r="G43" s="8">
        <f>IF(B43="","",VLOOKUP(E43,Datenblatt!$L$2:$N$8,3,FALSE))</f>
        <v>0</v>
      </c>
      <c r="H43" s="8" t="str">
        <f>IF(OR(G43=1),"x",IF(I43="","","x"))</f>
        <v/>
      </c>
      <c r="I43" s="11" t="str">
        <f>IFERROR(VLOOKUP(B43,Datenblatt!$E:$F,2,FALSE),"")</f>
        <v/>
      </c>
      <c r="J43" s="113"/>
      <c r="K43" s="19">
        <f>IF(B43&lt;Datenblatt!$B$9,"",IF(B43="","",IF(G43=0,Datenblatt!$B$7,"")))</f>
        <v>6.67</v>
      </c>
      <c r="L43" s="19" t="str">
        <f>IF(AND(J43="Krankenstand",R43=""),K43,"")</f>
        <v/>
      </c>
      <c r="M43" s="124" t="str">
        <f>IF(AND(J43="Urlaub",R43=""),K43,"")</f>
        <v/>
      </c>
      <c r="N43" s="124" t="str">
        <f>IF(AND(L43=Datenblatt!$B$7,NOT(L42=Datenblatt!$B$7),NOT(L44=Datenblatt!$B$7)),"y",IF(AND(L43=Datenblatt!$B$7,L44=Datenblatt!$B$7,NOT(L42=Datenblatt!$B$7)),"a",IF(AND(L43=Datenblatt!$B$7,L42=Datenblatt!$B$7,NOT(L44=Datenblatt!$B$7)),"b","")))</f>
        <v/>
      </c>
      <c r="O43" s="19" t="str">
        <f>IF(N43="a",TEXT(B43,"TT.MM.")&amp;" - ",IF(OR(N43="b",N43="y"),TEXT(B43,"TT.MM.")&amp;"; ",""))</f>
        <v/>
      </c>
      <c r="P43" s="124" t="str">
        <f>IF(AND(M43=Datenblatt!$B$7,NOT(M42=Datenblatt!$B$7),NOT(M44=Datenblatt!$B$7)),"y",IF(AND(M43=Datenblatt!$B$7,M44=Datenblatt!$B$7,NOT(M42=Datenblatt!$B$7)),"a",IF(AND(M43=Datenblatt!$B$7,M42=Datenblatt!$B$7,NOT(M44=Datenblatt!$B$7)),"b","")))</f>
        <v/>
      </c>
      <c r="Q43" s="19" t="str">
        <f>IF(P43="a",TEXT(B43,"TT.MM.")&amp;" - ",IF(OR(P43="b",P43="y"),TEXT(B43,"TT.MM.")&amp;"; ",""))</f>
        <v/>
      </c>
      <c r="R43" s="124" t="str">
        <f>IF(I43="","",IF(AND(OR(J43="Krankenstand",J43="Urlaub",J43=""), AND(G43=0,NOT(I43=""))),Datenblatt!$B$7,""))</f>
        <v/>
      </c>
      <c r="S43" s="19" t="str">
        <f>IF(OR(J43="Krankenstand",J43="Urlaub"),"",IF(J43="","",VLOOKUP(D43,Dienste!C:W,21,)))</f>
        <v/>
      </c>
      <c r="T43" s="18" t="str">
        <f>IF(OR(J43="Krankenstand",J43="Urlaub"),"",IF(J43="","",VLOOKUP(D43,Dienste!C:W,5,)))</f>
        <v/>
      </c>
      <c r="U43" s="18" t="str">
        <f>IF(OR(J43="Krankenstand",J43="Urlaub"),"",IF(J43="","",VLOOKUP(D43,Dienste!C:W,6,)))</f>
        <v/>
      </c>
      <c r="V43" s="18" t="str">
        <f>IF(OR(J43="Krankenstand",J43="Urlaub"),"",IF(J43="","",VLOOKUP(D43,Dienste!C:W,7,)))</f>
        <v/>
      </c>
      <c r="W43" s="18" t="str">
        <f>IF(OR(J43="Krankenstand",J43="Urlaub"),"",IF(J43="","",VLOOKUP(D43,Dienste!C:W,11,)))</f>
        <v/>
      </c>
      <c r="X43" s="18" t="str">
        <f>IF(OR(J43="Krankenstand",J43="Urlaub"),"",IF(J43="","",VLOOKUP(D43,Dienste!C:W,12,)))</f>
        <v/>
      </c>
      <c r="Y43" s="19" t="str">
        <f>IF(OR(J43="Krankenstand",J43="Urlaub"),"",IF(J43="","",VLOOKUP(D43,Dienste!C:W,14,)))</f>
        <v/>
      </c>
      <c r="Z43" s="20" t="str">
        <f>IF(OR(J43="Krankenstand",J43="Urlaub"),"",IF(J43="","",VLOOKUP(D43,Dienste!C:W,15,)))</f>
        <v/>
      </c>
      <c r="AA43" s="124" t="str">
        <f t="shared" ref="AA43:AA71" si="21">IF(OR(Y43="",NOT(AB43="")),"",IF(AND(Y43&lt;AE44,AE44&gt;0),Y43,IF(AE44&gt;0,AE44,"")))</f>
        <v/>
      </c>
      <c r="AB43" s="19" t="str">
        <f t="shared" ref="AB43:AB73" si="22">IF(I43="","",Y43)</f>
        <v/>
      </c>
      <c r="AC43" s="126" t="str">
        <f>_xlfn.CONCAT(_xlfn.CONCAT(IF(I43="","",_xlfn.CONCAT("FT: ",I43,IF(J43="","","; "))),IF(B43&lt;Datenblatt!$B$9,"",IF(B43="","",IF(NOT(J43=""),SUBSTITUTE(SUBSTITUTE(SUBSTITUTE(J43," mR","")," oR","")," O",""),"")))),IF(AF43="","",_xlfn.CONCAT(CHAR(10),"; ",AF43)))</f>
        <v/>
      </c>
      <c r="AD43" s="124" t="str">
        <f>IF(SUM(Y43,R43,M43,L43)&lt;=0,"",SUM(Y43,R43,M43,L43))</f>
        <v/>
      </c>
      <c r="AE43" s="19">
        <f t="shared" ref="AE43:AE72" si="23">IF(OR(Y43="",NOT(AB43="")),AE44,AE44-Y43)</f>
        <v>0</v>
      </c>
      <c r="AF43" s="156"/>
    </row>
    <row r="44" spans="1:32" s="9" customFormat="1" ht="13">
      <c r="B44" s="6">
        <f t="shared" ref="B44:B70" si="24">B43+1</f>
        <v>44594</v>
      </c>
      <c r="C44" s="45">
        <f>SMALL(Daten!W:W,COUNTIF(Daten!W:W,"&lt;"&amp;Stundenaufzeichnung!B44+1))</f>
        <v>44578</v>
      </c>
      <c r="D44" s="45" t="str">
        <f t="shared" si="19"/>
        <v/>
      </c>
      <c r="E44" s="8">
        <f t="shared" si="20"/>
        <v>5</v>
      </c>
      <c r="F44" s="8">
        <f t="shared" ref="F44:F70" si="25">MOD(E44+$F$3,7)+1</f>
        <v>3</v>
      </c>
      <c r="G44" s="8">
        <f>IF(B44="","",VLOOKUP(E44,Datenblatt!$L$2:$N$8,3,FALSE))</f>
        <v>0</v>
      </c>
      <c r="H44" s="8" t="str">
        <f t="shared" ref="H44:H73" si="26">IF(OR(G44=1),"x",IF(I44="","","x"))</f>
        <v/>
      </c>
      <c r="I44" s="11" t="str">
        <f>IFERROR(VLOOKUP(B44,Datenblatt!$E:$F,2,FALSE),"")</f>
        <v/>
      </c>
      <c r="J44" s="113"/>
      <c r="K44" s="19">
        <f>IF(B44&lt;Datenblatt!$B$9,"",IF(B44="","",IF(G44=0,Datenblatt!$B$7,"")))</f>
        <v>6.67</v>
      </c>
      <c r="L44" s="19" t="str">
        <f t="shared" ref="L44:L73" si="27">IF(AND(J44="Krankenstand",R44=""),K44,"")</f>
        <v/>
      </c>
      <c r="M44" s="124" t="str">
        <f t="shared" ref="M44:M73" si="28">IF(AND(J44="Urlaub",R44=""),K44,"")</f>
        <v/>
      </c>
      <c r="N44" s="124" t="str">
        <f>IF(AND(L44=Datenblatt!$B$7,NOT(L43=Datenblatt!$B$7),NOT(L45=Datenblatt!$B$7)),"y",IF(AND(L44=Datenblatt!$B$7,L45=Datenblatt!$B$7,NOT(L43=Datenblatt!$B$7)),"a",IF(AND(L44=Datenblatt!$B$7,L43=Datenblatt!$B$7,NOT(L45=Datenblatt!$B$7)),"b","")))</f>
        <v/>
      </c>
      <c r="O44" s="19" t="str">
        <f t="shared" ref="O44:O73" si="29">IF(N44="a",TEXT(B44,"TT.MM.")&amp;" - ",IF(OR(N44="b",N44="y"),TEXT(B44,"TT.MM.")&amp;"; ",""))</f>
        <v/>
      </c>
      <c r="P44" s="124" t="str">
        <f>IF(AND(M44=Datenblatt!$B$7,NOT(M43=Datenblatt!$B$7),NOT(M45=Datenblatt!$B$7)),"y",IF(AND(M44=Datenblatt!$B$7,M45=Datenblatt!$B$7,NOT(M43=Datenblatt!$B$7)),"a",IF(AND(M44=Datenblatt!$B$7,M43=Datenblatt!$B$7,NOT(M45=Datenblatt!$B$7)),"b","")))</f>
        <v/>
      </c>
      <c r="Q44" s="19" t="str">
        <f t="shared" ref="Q44:Q73" si="30">IF(P44="a",TEXT(B44,"TT.MM.")&amp;" - ",IF(OR(P44="b",P44="y"),TEXT(B44,"TT.MM.")&amp;"; ",""))</f>
        <v/>
      </c>
      <c r="R44" s="124" t="str">
        <f>IF(I44="","",IF(AND(OR(J44="Krankenstand",J44="Urlaub",J44=""), AND(G44=0,NOT(I44=""))),Datenblatt!$B$7,""))</f>
        <v/>
      </c>
      <c r="S44" s="19" t="str">
        <f>IF(OR(J44="Krankenstand",J44="Urlaub"),"",IF(J44="","",VLOOKUP(D44,Dienste!C:W,21,)))</f>
        <v/>
      </c>
      <c r="T44" s="18" t="str">
        <f>IF(OR(J44="Krankenstand",J44="Urlaub"),"",IF(J44="","",VLOOKUP(D44,Dienste!C:W,5,)))</f>
        <v/>
      </c>
      <c r="U44" s="18" t="str">
        <f>IF(OR(J44="Krankenstand",J44="Urlaub"),"",IF(J44="","",VLOOKUP(D44,Dienste!C:W,6,)))</f>
        <v/>
      </c>
      <c r="V44" s="18" t="str">
        <f>IF(OR(J44="Krankenstand",J44="Urlaub"),"",IF(J44="","",VLOOKUP(D44,Dienste!C:W,7,)))</f>
        <v/>
      </c>
      <c r="W44" s="18" t="str">
        <f>IF(OR(J44="Krankenstand",J44="Urlaub"),"",IF(J44="","",VLOOKUP(D44,Dienste!C:W,11,)))</f>
        <v/>
      </c>
      <c r="X44" s="18" t="str">
        <f>IF(OR(J44="Krankenstand",J44="Urlaub"),"",IF(J44="","",VLOOKUP(D44,Dienste!C:W,12,)))</f>
        <v/>
      </c>
      <c r="Y44" s="19" t="str">
        <f>IF(OR(J44="Krankenstand",J44="Urlaub"),"",IF(J44="","",VLOOKUP(D44,Dienste!C:W,14,)))</f>
        <v/>
      </c>
      <c r="Z44" s="20" t="str">
        <f>IF(OR(J44="Krankenstand",J44="Urlaub"),"",IF(J44="","",VLOOKUP(D44,Dienste!C:W,15,)))</f>
        <v/>
      </c>
      <c r="AA44" s="124" t="str">
        <f t="shared" si="21"/>
        <v/>
      </c>
      <c r="AB44" s="19" t="str">
        <f t="shared" si="22"/>
        <v/>
      </c>
      <c r="AC44" s="126" t="str">
        <f>_xlfn.CONCAT(_xlfn.CONCAT(IF(I44="","",_xlfn.CONCAT("FT: ",I44,IF(J44="","","; "))),IF(B44&lt;Datenblatt!$B$9,"",IF(B44="","",IF(NOT(J44=""),SUBSTITUTE(SUBSTITUTE(SUBSTITUTE(J44," mR","")," oR","")," O",""),"")))),IF(AF44="","",_xlfn.CONCAT(CHAR(10),"; ",AF44)))</f>
        <v/>
      </c>
      <c r="AD44" s="124" t="str">
        <f t="shared" ref="AD44:AD73" si="31">IF(SUM(Y44,R44,M44,L44)&lt;=0,"",SUM(Y44,R44,M44,L44))</f>
        <v/>
      </c>
      <c r="AE44" s="19">
        <f t="shared" si="23"/>
        <v>0</v>
      </c>
      <c r="AF44" s="156"/>
    </row>
    <row r="45" spans="1:32" s="9" customFormat="1" ht="13">
      <c r="B45" s="6">
        <f t="shared" si="24"/>
        <v>44595</v>
      </c>
      <c r="C45" s="45">
        <f>SMALL(Daten!W:W,COUNTIF(Daten!W:W,"&lt;"&amp;Stundenaufzeichnung!B45+1))</f>
        <v>44578</v>
      </c>
      <c r="D45" s="45" t="str">
        <f t="shared" si="19"/>
        <v/>
      </c>
      <c r="E45" s="8">
        <f t="shared" si="20"/>
        <v>6</v>
      </c>
      <c r="F45" s="8">
        <f t="shared" si="25"/>
        <v>4</v>
      </c>
      <c r="G45" s="8">
        <f>IF(B45="","",VLOOKUP(E45,Datenblatt!$L$2:$N$8,3,FALSE))</f>
        <v>0</v>
      </c>
      <c r="H45" s="8" t="str">
        <f t="shared" si="26"/>
        <v/>
      </c>
      <c r="I45" s="11" t="str">
        <f>IFERROR(VLOOKUP(B45,Datenblatt!$E:$F,2,FALSE),"")</f>
        <v/>
      </c>
      <c r="J45" s="113"/>
      <c r="K45" s="19">
        <f>IF(B45&lt;Datenblatt!$B$9,"",IF(B45="","",IF(G45=0,Datenblatt!$B$7,"")))</f>
        <v>6.67</v>
      </c>
      <c r="L45" s="19" t="str">
        <f t="shared" si="27"/>
        <v/>
      </c>
      <c r="M45" s="124" t="str">
        <f t="shared" si="28"/>
        <v/>
      </c>
      <c r="N45" s="124" t="str">
        <f>IF(AND(L45=Datenblatt!$B$7,NOT(L44=Datenblatt!$B$7),NOT(L46=Datenblatt!$B$7)),"y",IF(AND(L45=Datenblatt!$B$7,L46=Datenblatt!$B$7,NOT(L44=Datenblatt!$B$7)),"a",IF(AND(L45=Datenblatt!$B$7,L44=Datenblatt!$B$7,NOT(L46=Datenblatt!$B$7)),"b","")))</f>
        <v/>
      </c>
      <c r="O45" s="19" t="str">
        <f t="shared" si="29"/>
        <v/>
      </c>
      <c r="P45" s="124" t="str">
        <f>IF(AND(M45=Datenblatt!$B$7,NOT(M44=Datenblatt!$B$7),NOT(M46=Datenblatt!$B$7)),"y",IF(AND(M45=Datenblatt!$B$7,M46=Datenblatt!$B$7,NOT(M44=Datenblatt!$B$7)),"a",IF(AND(M45=Datenblatt!$B$7,M44=Datenblatt!$B$7,NOT(M46=Datenblatt!$B$7)),"b","")))</f>
        <v/>
      </c>
      <c r="Q45" s="19" t="str">
        <f t="shared" si="30"/>
        <v/>
      </c>
      <c r="R45" s="124" t="str">
        <f>IF(I45="","",IF(AND(OR(J45="Krankenstand",J45="Urlaub",J45=""), AND(G45=0,NOT(I45=""))),Datenblatt!$B$7,""))</f>
        <v/>
      </c>
      <c r="S45" s="19" t="str">
        <f>IF(OR(J45="Krankenstand",J45="Urlaub"),"",IF(J45="","",VLOOKUP(D45,Dienste!C:W,21,)))</f>
        <v/>
      </c>
      <c r="T45" s="18" t="str">
        <f>IF(OR(J45="Krankenstand",J45="Urlaub"),"",IF(J45="","",VLOOKUP(D45,Dienste!C:W,5,)))</f>
        <v/>
      </c>
      <c r="U45" s="18" t="str">
        <f>IF(OR(J45="Krankenstand",J45="Urlaub"),"",IF(J45="","",VLOOKUP(D45,Dienste!C:W,6,)))</f>
        <v/>
      </c>
      <c r="V45" s="18" t="str">
        <f>IF(OR(J45="Krankenstand",J45="Urlaub"),"",IF(J45="","",VLOOKUP(D45,Dienste!C:W,7,)))</f>
        <v/>
      </c>
      <c r="W45" s="18" t="str">
        <f>IF(OR(J45="Krankenstand",J45="Urlaub"),"",IF(J45="","",VLOOKUP(D45,Dienste!C:W,11,)))</f>
        <v/>
      </c>
      <c r="X45" s="18" t="str">
        <f>IF(OR(J45="Krankenstand",J45="Urlaub"),"",IF(J45="","",VLOOKUP(D45,Dienste!C:W,12,)))</f>
        <v/>
      </c>
      <c r="Y45" s="19" t="str">
        <f>IF(OR(J45="Krankenstand",J45="Urlaub"),"",IF(J45="","",VLOOKUP(D45,Dienste!C:W,14,)))</f>
        <v/>
      </c>
      <c r="Z45" s="20" t="str">
        <f>IF(OR(J45="Krankenstand",J45="Urlaub"),"",IF(J45="","",VLOOKUP(D45,Dienste!C:W,15,)))</f>
        <v/>
      </c>
      <c r="AA45" s="124" t="str">
        <f t="shared" si="21"/>
        <v/>
      </c>
      <c r="AB45" s="19" t="str">
        <f t="shared" si="22"/>
        <v/>
      </c>
      <c r="AC45" s="126" t="str">
        <f>_xlfn.CONCAT(_xlfn.CONCAT(IF(I45="","",_xlfn.CONCAT("FT: ",I45,IF(J45="","","; "))),IF(B45&lt;Datenblatt!$B$9,"",IF(B45="","",IF(NOT(J45=""),SUBSTITUTE(SUBSTITUTE(SUBSTITUTE(J45," mR","")," oR","")," O",""),"")))),IF(AF45="","",_xlfn.CONCAT(CHAR(10),"; ",AF45)))</f>
        <v/>
      </c>
      <c r="AD45" s="124" t="str">
        <f t="shared" si="31"/>
        <v/>
      </c>
      <c r="AE45" s="19">
        <f t="shared" si="23"/>
        <v>0</v>
      </c>
      <c r="AF45" s="156"/>
    </row>
    <row r="46" spans="1:32" s="9" customFormat="1" ht="13">
      <c r="B46" s="6">
        <f t="shared" si="24"/>
        <v>44596</v>
      </c>
      <c r="C46" s="45">
        <f>SMALL(Daten!W:W,COUNTIF(Daten!W:W,"&lt;"&amp;Stundenaufzeichnung!B46+1))</f>
        <v>44578</v>
      </c>
      <c r="D46" s="45" t="str">
        <f t="shared" si="19"/>
        <v/>
      </c>
      <c r="E46" s="8">
        <f t="shared" si="20"/>
        <v>7</v>
      </c>
      <c r="F46" s="8">
        <f t="shared" si="25"/>
        <v>5</v>
      </c>
      <c r="G46" s="8">
        <f>IF(B46="","",VLOOKUP(E46,Datenblatt!$L$2:$N$8,3,FALSE))</f>
        <v>0</v>
      </c>
      <c r="H46" s="8" t="str">
        <f t="shared" si="26"/>
        <v/>
      </c>
      <c r="I46" s="11" t="str">
        <f>IFERROR(VLOOKUP(B46,Datenblatt!$E:$F,2,FALSE),"")</f>
        <v/>
      </c>
      <c r="J46" s="113"/>
      <c r="K46" s="19">
        <f>IF(B46&lt;Datenblatt!$B$9,"",IF(B46="","",IF(G46=0,Datenblatt!$B$7,"")))</f>
        <v>6.67</v>
      </c>
      <c r="L46" s="19" t="str">
        <f t="shared" si="27"/>
        <v/>
      </c>
      <c r="M46" s="124" t="str">
        <f t="shared" si="28"/>
        <v/>
      </c>
      <c r="N46" s="124" t="str">
        <f>IF(AND(L46=Datenblatt!$B$7,NOT(L45=Datenblatt!$B$7),NOT(L47=Datenblatt!$B$7)),"y",IF(AND(L46=Datenblatt!$B$7,L47=Datenblatt!$B$7,NOT(L45=Datenblatt!$B$7)),"a",IF(AND(L46=Datenblatt!$B$7,L45=Datenblatt!$B$7,NOT(L47=Datenblatt!$B$7)),"b","")))</f>
        <v/>
      </c>
      <c r="O46" s="19" t="str">
        <f t="shared" si="29"/>
        <v/>
      </c>
      <c r="P46" s="124" t="str">
        <f>IF(AND(M46=Datenblatt!$B$7,NOT(M45=Datenblatt!$B$7),NOT(M47=Datenblatt!$B$7)),"y",IF(AND(M46=Datenblatt!$B$7,M47=Datenblatt!$B$7,NOT(M45=Datenblatt!$B$7)),"a",IF(AND(M46=Datenblatt!$B$7,M45=Datenblatt!$B$7,NOT(M47=Datenblatt!$B$7)),"b","")))</f>
        <v/>
      </c>
      <c r="Q46" s="19" t="str">
        <f t="shared" si="30"/>
        <v/>
      </c>
      <c r="R46" s="124" t="str">
        <f>IF(I46="","",IF(AND(OR(J46="Krankenstand",J46="Urlaub",J46=""), AND(G46=0,NOT(I46=""))),Datenblatt!$B$7,""))</f>
        <v/>
      </c>
      <c r="S46" s="19" t="str">
        <f>IF(OR(J46="Krankenstand",J46="Urlaub"),"",IF(J46="","",VLOOKUP(D46,Dienste!C:W,21,)))</f>
        <v/>
      </c>
      <c r="T46" s="18" t="str">
        <f>IF(OR(J46="Krankenstand",J46="Urlaub"),"",IF(J46="","",VLOOKUP(D46,Dienste!C:W,5,)))</f>
        <v/>
      </c>
      <c r="U46" s="18" t="str">
        <f>IF(OR(J46="Krankenstand",J46="Urlaub"),"",IF(J46="","",VLOOKUP(D46,Dienste!C:W,6,)))</f>
        <v/>
      </c>
      <c r="V46" s="18" t="str">
        <f>IF(OR(J46="Krankenstand",J46="Urlaub"),"",IF(J46="","",VLOOKUP(D46,Dienste!C:W,7,)))</f>
        <v/>
      </c>
      <c r="W46" s="18" t="str">
        <f>IF(OR(J46="Krankenstand",J46="Urlaub"),"",IF(J46="","",VLOOKUP(D46,Dienste!C:W,11,)))</f>
        <v/>
      </c>
      <c r="X46" s="18" t="str">
        <f>IF(OR(J46="Krankenstand",J46="Urlaub"),"",IF(J46="","",VLOOKUP(D46,Dienste!C:W,12,)))</f>
        <v/>
      </c>
      <c r="Y46" s="19" t="str">
        <f>IF(OR(J46="Krankenstand",J46="Urlaub"),"",IF(J46="","",VLOOKUP(D46,Dienste!C:W,14,)))</f>
        <v/>
      </c>
      <c r="Z46" s="20" t="str">
        <f>IF(OR(J46="Krankenstand",J46="Urlaub"),"",IF(J46="","",VLOOKUP(D46,Dienste!C:W,15,)))</f>
        <v/>
      </c>
      <c r="AA46" s="124" t="str">
        <f t="shared" si="21"/>
        <v/>
      </c>
      <c r="AB46" s="19" t="str">
        <f t="shared" si="22"/>
        <v/>
      </c>
      <c r="AC46" s="126" t="str">
        <f>_xlfn.CONCAT(_xlfn.CONCAT(IF(I46="","",_xlfn.CONCAT("FT: ",I46,IF(J46="","","; "))),IF(B46&lt;Datenblatt!$B$9,"",IF(B46="","",IF(NOT(J46=""),SUBSTITUTE(SUBSTITUTE(SUBSTITUTE(J46," mR","")," oR","")," O",""),"")))),IF(AF46="","",_xlfn.CONCAT(CHAR(10),"; ",AF46)))</f>
        <v/>
      </c>
      <c r="AD46" s="124" t="str">
        <f t="shared" si="31"/>
        <v/>
      </c>
      <c r="AE46" s="19">
        <f t="shared" si="23"/>
        <v>0</v>
      </c>
      <c r="AF46" s="156"/>
    </row>
    <row r="47" spans="1:32" s="9" customFormat="1" ht="13">
      <c r="B47" s="6">
        <f t="shared" si="24"/>
        <v>44597</v>
      </c>
      <c r="C47" s="45">
        <f>SMALL(Daten!W:W,COUNTIF(Daten!W:W,"&lt;"&amp;Stundenaufzeichnung!B47+1))</f>
        <v>44578</v>
      </c>
      <c r="D47" s="45" t="str">
        <f t="shared" si="19"/>
        <v/>
      </c>
      <c r="E47" s="8">
        <f t="shared" si="20"/>
        <v>1</v>
      </c>
      <c r="F47" s="8">
        <f t="shared" si="25"/>
        <v>6</v>
      </c>
      <c r="G47" s="8">
        <f>IF(B47="","",VLOOKUP(E47,Datenblatt!$L$2:$N$8,3,FALSE))</f>
        <v>0</v>
      </c>
      <c r="H47" s="8" t="str">
        <f t="shared" si="26"/>
        <v/>
      </c>
      <c r="I47" s="11" t="str">
        <f>IFERROR(VLOOKUP(B47,Datenblatt!$E:$F,2,FALSE),"")</f>
        <v/>
      </c>
      <c r="J47" s="113"/>
      <c r="K47" s="19">
        <f>IF(B47&lt;Datenblatt!$B$9,"",IF(B47="","",IF(G47=0,Datenblatt!$B$7,"")))</f>
        <v>6.67</v>
      </c>
      <c r="L47" s="19" t="str">
        <f t="shared" si="27"/>
        <v/>
      </c>
      <c r="M47" s="124" t="str">
        <f t="shared" si="28"/>
        <v/>
      </c>
      <c r="N47" s="124" t="str">
        <f>IF(AND(L47=Datenblatt!$B$7,NOT(L46=Datenblatt!$B$7),NOT(L48=Datenblatt!$B$7)),"y",IF(AND(L47=Datenblatt!$B$7,L48=Datenblatt!$B$7,NOT(L46=Datenblatt!$B$7)),"a",IF(AND(L47=Datenblatt!$B$7,L46=Datenblatt!$B$7,NOT(L48=Datenblatt!$B$7)),"b","")))</f>
        <v/>
      </c>
      <c r="O47" s="19" t="str">
        <f t="shared" si="29"/>
        <v/>
      </c>
      <c r="P47" s="124" t="str">
        <f>IF(AND(M47=Datenblatt!$B$7,NOT(M46=Datenblatt!$B$7),NOT(M48=Datenblatt!$B$7)),"y",IF(AND(M47=Datenblatt!$B$7,M48=Datenblatt!$B$7,NOT(M46=Datenblatt!$B$7)),"a",IF(AND(M47=Datenblatt!$B$7,M46=Datenblatt!$B$7,NOT(M48=Datenblatt!$B$7)),"b","")))</f>
        <v/>
      </c>
      <c r="Q47" s="19" t="str">
        <f t="shared" si="30"/>
        <v/>
      </c>
      <c r="R47" s="124" t="str">
        <f>IF(I47="","",IF(AND(OR(J47="Krankenstand",J47="Urlaub",J47=""), AND(G47=0,NOT(I47=""))),Datenblatt!$B$7,""))</f>
        <v/>
      </c>
      <c r="S47" s="19" t="str">
        <f>IF(OR(J47="Krankenstand",J47="Urlaub"),"",IF(J47="","",VLOOKUP(D47,Dienste!C:W,21,)))</f>
        <v/>
      </c>
      <c r="T47" s="18" t="str">
        <f>IF(OR(J47="Krankenstand",J47="Urlaub"),"",IF(J47="","",VLOOKUP(D47,Dienste!C:W,5,)))</f>
        <v/>
      </c>
      <c r="U47" s="18" t="str">
        <f>IF(OR(J47="Krankenstand",J47="Urlaub"),"",IF(J47="","",VLOOKUP(D47,Dienste!C:W,6,)))</f>
        <v/>
      </c>
      <c r="V47" s="18" t="str">
        <f>IF(OR(J47="Krankenstand",J47="Urlaub"),"",IF(J47="","",VLOOKUP(D47,Dienste!C:W,7,)))</f>
        <v/>
      </c>
      <c r="W47" s="18" t="str">
        <f>IF(OR(J47="Krankenstand",J47="Urlaub"),"",IF(J47="","",VLOOKUP(D47,Dienste!C:W,11,)))</f>
        <v/>
      </c>
      <c r="X47" s="18" t="str">
        <f>IF(OR(J47="Krankenstand",J47="Urlaub"),"",IF(J47="","",VLOOKUP(D47,Dienste!C:W,12,)))</f>
        <v/>
      </c>
      <c r="Y47" s="19" t="str">
        <f>IF(OR(J47="Krankenstand",J47="Urlaub"),"",IF(J47="","",VLOOKUP(D47,Dienste!C:W,14,)))</f>
        <v/>
      </c>
      <c r="Z47" s="20" t="str">
        <f>IF(OR(J47="Krankenstand",J47="Urlaub"),"",IF(J47="","",VLOOKUP(D47,Dienste!C:W,15,)))</f>
        <v/>
      </c>
      <c r="AA47" s="124" t="str">
        <f t="shared" si="21"/>
        <v/>
      </c>
      <c r="AB47" s="19" t="str">
        <f t="shared" si="22"/>
        <v/>
      </c>
      <c r="AC47" s="126" t="str">
        <f>_xlfn.CONCAT(_xlfn.CONCAT(IF(I47="","",_xlfn.CONCAT("FT: ",I47,IF(J47="","","; "))),IF(B47&lt;Datenblatt!$B$9,"",IF(B47="","",IF(NOT(J47=""),SUBSTITUTE(SUBSTITUTE(SUBSTITUTE(J47," mR","")," oR","")," O",""),"")))),IF(AF47="","",_xlfn.CONCAT(CHAR(10),"; ",AF47)))</f>
        <v/>
      </c>
      <c r="AD47" s="124" t="str">
        <f t="shared" si="31"/>
        <v/>
      </c>
      <c r="AE47" s="19">
        <f t="shared" si="23"/>
        <v>0</v>
      </c>
      <c r="AF47" s="156"/>
    </row>
    <row r="48" spans="1:32" s="9" customFormat="1" ht="13">
      <c r="B48" s="6">
        <f t="shared" si="24"/>
        <v>44598</v>
      </c>
      <c r="C48" s="45">
        <f>SMALL(Daten!W:W,COUNTIF(Daten!W:W,"&lt;"&amp;Stundenaufzeichnung!B48+1))</f>
        <v>44578</v>
      </c>
      <c r="D48" s="45" t="str">
        <f t="shared" si="19"/>
        <v/>
      </c>
      <c r="E48" s="8">
        <f t="shared" si="20"/>
        <v>2</v>
      </c>
      <c r="F48" s="8">
        <f t="shared" si="25"/>
        <v>7</v>
      </c>
      <c r="G48" s="8">
        <f>IF(B48="","",VLOOKUP(E48,Datenblatt!$L$2:$N$8,3,FALSE))</f>
        <v>1</v>
      </c>
      <c r="H48" s="8" t="str">
        <f t="shared" si="26"/>
        <v>x</v>
      </c>
      <c r="I48" s="11" t="str">
        <f>IFERROR(VLOOKUP(B48,Datenblatt!$E:$F,2,FALSE),"")</f>
        <v/>
      </c>
      <c r="J48" s="113"/>
      <c r="K48" s="19" t="str">
        <f>IF(B48&lt;Datenblatt!$B$9,"",IF(B48="","",IF(G48=0,Datenblatt!$B$7,"")))</f>
        <v/>
      </c>
      <c r="L48" s="19" t="str">
        <f t="shared" si="27"/>
        <v/>
      </c>
      <c r="M48" s="124" t="str">
        <f t="shared" si="28"/>
        <v/>
      </c>
      <c r="N48" s="124" t="str">
        <f>IF(AND(L48=Datenblatt!$B$7,NOT(L47=Datenblatt!$B$7),NOT(L49=Datenblatt!$B$7)),"y",IF(AND(L48=Datenblatt!$B$7,L49=Datenblatt!$B$7,NOT(L47=Datenblatt!$B$7)),"a",IF(AND(L48=Datenblatt!$B$7,L47=Datenblatt!$B$7,NOT(L49=Datenblatt!$B$7)),"b","")))</f>
        <v/>
      </c>
      <c r="O48" s="19" t="str">
        <f t="shared" si="29"/>
        <v/>
      </c>
      <c r="P48" s="124" t="str">
        <f>IF(AND(M48=Datenblatt!$B$7,NOT(M47=Datenblatt!$B$7),NOT(M49=Datenblatt!$B$7)),"y",IF(AND(M48=Datenblatt!$B$7,M49=Datenblatt!$B$7,NOT(M47=Datenblatt!$B$7)),"a",IF(AND(M48=Datenblatt!$B$7,M47=Datenblatt!$B$7,NOT(M49=Datenblatt!$B$7)),"b","")))</f>
        <v/>
      </c>
      <c r="Q48" s="19" t="str">
        <f t="shared" si="30"/>
        <v/>
      </c>
      <c r="R48" s="124" t="str">
        <f>IF(I48="","",IF(AND(OR(J48="Krankenstand",J48="Urlaub",J48=""), AND(G48=0,NOT(I48=""))),Datenblatt!$B$7,""))</f>
        <v/>
      </c>
      <c r="S48" s="19" t="str">
        <f>IF(OR(J48="Krankenstand",J48="Urlaub"),"",IF(J48="","",VLOOKUP(D48,Dienste!C:W,21,)))</f>
        <v/>
      </c>
      <c r="T48" s="18" t="str">
        <f>IF(OR(J48="Krankenstand",J48="Urlaub"),"",IF(J48="","",VLOOKUP(D48,Dienste!C:W,5,)))</f>
        <v/>
      </c>
      <c r="U48" s="18" t="str">
        <f>IF(OR(J48="Krankenstand",J48="Urlaub"),"",IF(J48="","",VLOOKUP(D48,Dienste!C:W,6,)))</f>
        <v/>
      </c>
      <c r="V48" s="18" t="str">
        <f>IF(OR(J48="Krankenstand",J48="Urlaub"),"",IF(J48="","",VLOOKUP(D48,Dienste!C:W,7,)))</f>
        <v/>
      </c>
      <c r="W48" s="18" t="str">
        <f>IF(OR(J48="Krankenstand",J48="Urlaub"),"",IF(J48="","",VLOOKUP(D48,Dienste!C:W,11,)))</f>
        <v/>
      </c>
      <c r="X48" s="18" t="str">
        <f>IF(OR(J48="Krankenstand",J48="Urlaub"),"",IF(J48="","",VLOOKUP(D48,Dienste!C:W,12,)))</f>
        <v/>
      </c>
      <c r="Y48" s="19" t="str">
        <f>IF(OR(J48="Krankenstand",J48="Urlaub"),"",IF(J48="","",VLOOKUP(D48,Dienste!C:W,14,)))</f>
        <v/>
      </c>
      <c r="Z48" s="20" t="str">
        <f>IF(OR(J48="Krankenstand",J48="Urlaub"),"",IF(J48="","",VLOOKUP(D48,Dienste!C:W,15,)))</f>
        <v/>
      </c>
      <c r="AA48" s="124" t="str">
        <f t="shared" si="21"/>
        <v/>
      </c>
      <c r="AB48" s="19" t="str">
        <f t="shared" si="22"/>
        <v/>
      </c>
      <c r="AC48" s="126" t="str">
        <f>_xlfn.CONCAT(_xlfn.CONCAT(IF(I48="","",_xlfn.CONCAT("FT: ",I48,IF(J48="","","; "))),IF(B48&lt;Datenblatt!$B$9,"",IF(B48="","",IF(NOT(J48=""),SUBSTITUTE(SUBSTITUTE(SUBSTITUTE(J48," mR","")," oR","")," O",""),"")))),IF(AF48="","",_xlfn.CONCAT(CHAR(10),"; ",AF48)))</f>
        <v/>
      </c>
      <c r="AD48" s="124" t="str">
        <f t="shared" si="31"/>
        <v/>
      </c>
      <c r="AE48" s="19">
        <f t="shared" si="23"/>
        <v>0</v>
      </c>
      <c r="AF48" s="156"/>
    </row>
    <row r="49" spans="2:32" s="9" customFormat="1" ht="13">
      <c r="B49" s="6">
        <f t="shared" si="24"/>
        <v>44599</v>
      </c>
      <c r="C49" s="45">
        <f>SMALL(Daten!W:W,COUNTIF(Daten!W:W,"&lt;"&amp;Stundenaufzeichnung!B49+1))</f>
        <v>44578</v>
      </c>
      <c r="D49" s="45" t="str">
        <f t="shared" si="19"/>
        <v/>
      </c>
      <c r="E49" s="8">
        <f t="shared" si="20"/>
        <v>3</v>
      </c>
      <c r="F49" s="8">
        <f t="shared" si="25"/>
        <v>1</v>
      </c>
      <c r="G49" s="8">
        <f>IF(B49="","",VLOOKUP(E49,Datenblatt!$L$2:$N$8,3,FALSE))</f>
        <v>0</v>
      </c>
      <c r="H49" s="8" t="str">
        <f t="shared" si="26"/>
        <v/>
      </c>
      <c r="I49" s="11" t="str">
        <f>IFERROR(VLOOKUP(B49,Datenblatt!$E:$F,2,FALSE),"")</f>
        <v/>
      </c>
      <c r="J49" s="113"/>
      <c r="K49" s="19">
        <f>IF(B49&lt;Datenblatt!$B$9,"",IF(B49="","",IF(G49=0,Datenblatt!$B$7,"")))</f>
        <v>6.67</v>
      </c>
      <c r="L49" s="19" t="str">
        <f t="shared" si="27"/>
        <v/>
      </c>
      <c r="M49" s="124" t="str">
        <f t="shared" si="28"/>
        <v/>
      </c>
      <c r="N49" s="124" t="str">
        <f>IF(AND(L49=Datenblatt!$B$7,NOT(L48=Datenblatt!$B$7),NOT(L50=Datenblatt!$B$7)),"y",IF(AND(L49=Datenblatt!$B$7,L50=Datenblatt!$B$7,NOT(L48=Datenblatt!$B$7)),"a",IF(AND(L49=Datenblatt!$B$7,L48=Datenblatt!$B$7,NOT(L50=Datenblatt!$B$7)),"b","")))</f>
        <v/>
      </c>
      <c r="O49" s="19" t="str">
        <f t="shared" si="29"/>
        <v/>
      </c>
      <c r="P49" s="124" t="str">
        <f>IF(AND(M49=Datenblatt!$B$7,NOT(M48=Datenblatt!$B$7),NOT(M50=Datenblatt!$B$7)),"y",IF(AND(M49=Datenblatt!$B$7,M50=Datenblatt!$B$7,NOT(M48=Datenblatt!$B$7)),"a",IF(AND(M49=Datenblatt!$B$7,M48=Datenblatt!$B$7,NOT(M50=Datenblatt!$B$7)),"b","")))</f>
        <v/>
      </c>
      <c r="Q49" s="19" t="str">
        <f t="shared" si="30"/>
        <v/>
      </c>
      <c r="R49" s="124" t="str">
        <f>IF(I49="","",IF(AND(OR(J49="Krankenstand",J49="Urlaub",J49=""), AND(G49=0,NOT(I49=""))),Datenblatt!$B$7,""))</f>
        <v/>
      </c>
      <c r="S49" s="19" t="str">
        <f>IF(OR(J49="Krankenstand",J49="Urlaub"),"",IF(J49="","",VLOOKUP(D49,Dienste!C:W,21,)))</f>
        <v/>
      </c>
      <c r="T49" s="18" t="str">
        <f>IF(OR(J49="Krankenstand",J49="Urlaub"),"",IF(J49="","",VLOOKUP(D49,Dienste!C:W,5,)))</f>
        <v/>
      </c>
      <c r="U49" s="18" t="str">
        <f>IF(OR(J49="Krankenstand",J49="Urlaub"),"",IF(J49="","",VLOOKUP(D49,Dienste!C:W,6,)))</f>
        <v/>
      </c>
      <c r="V49" s="18" t="str">
        <f>IF(OR(J49="Krankenstand",J49="Urlaub"),"",IF(J49="","",VLOOKUP(D49,Dienste!C:W,7,)))</f>
        <v/>
      </c>
      <c r="W49" s="18" t="str">
        <f>IF(OR(J49="Krankenstand",J49="Urlaub"),"",IF(J49="","",VLOOKUP(D49,Dienste!C:W,11,)))</f>
        <v/>
      </c>
      <c r="X49" s="18" t="str">
        <f>IF(OR(J49="Krankenstand",J49="Urlaub"),"",IF(J49="","",VLOOKUP(D49,Dienste!C:W,12,)))</f>
        <v/>
      </c>
      <c r="Y49" s="19" t="str">
        <f>IF(OR(J49="Krankenstand",J49="Urlaub"),"",IF(J49="","",VLOOKUP(D49,Dienste!C:W,14,)))</f>
        <v/>
      </c>
      <c r="Z49" s="20" t="str">
        <f>IF(OR(J49="Krankenstand",J49="Urlaub"),"",IF(J49="","",VLOOKUP(D49,Dienste!C:W,15,)))</f>
        <v/>
      </c>
      <c r="AA49" s="124" t="str">
        <f t="shared" si="21"/>
        <v/>
      </c>
      <c r="AB49" s="19" t="str">
        <f t="shared" si="22"/>
        <v/>
      </c>
      <c r="AC49" s="126" t="str">
        <f>_xlfn.CONCAT(_xlfn.CONCAT(IF(I49="","",_xlfn.CONCAT("FT: ",I49,IF(J49="","","; "))),IF(B49&lt;Datenblatt!$B$9,"",IF(B49="","",IF(NOT(J49=""),SUBSTITUTE(SUBSTITUTE(SUBSTITUTE(J49," mR","")," oR","")," O",""),"")))),IF(AF49="","",_xlfn.CONCAT(CHAR(10),"; ",AF49)))</f>
        <v/>
      </c>
      <c r="AD49" s="124" t="str">
        <f t="shared" si="31"/>
        <v/>
      </c>
      <c r="AE49" s="19">
        <f t="shared" si="23"/>
        <v>0</v>
      </c>
      <c r="AF49" s="156"/>
    </row>
    <row r="50" spans="2:32" s="9" customFormat="1" ht="13">
      <c r="B50" s="6">
        <f t="shared" si="24"/>
        <v>44600</v>
      </c>
      <c r="C50" s="45">
        <f>SMALL(Daten!W:W,COUNTIF(Daten!W:W,"&lt;"&amp;Stundenaufzeichnung!B50+1))</f>
        <v>44578</v>
      </c>
      <c r="D50" s="45" t="str">
        <f t="shared" si="19"/>
        <v/>
      </c>
      <c r="E50" s="8">
        <f t="shared" si="20"/>
        <v>4</v>
      </c>
      <c r="F50" s="8">
        <f t="shared" si="25"/>
        <v>2</v>
      </c>
      <c r="G50" s="8">
        <f>IF(B50="","",VLOOKUP(E50,Datenblatt!$L$2:$N$8,3,FALSE))</f>
        <v>0</v>
      </c>
      <c r="H50" s="8" t="str">
        <f t="shared" si="26"/>
        <v/>
      </c>
      <c r="I50" s="11" t="str">
        <f>IFERROR(VLOOKUP(B50,Datenblatt!$E:$F,2,FALSE),"")</f>
        <v/>
      </c>
      <c r="J50" s="113"/>
      <c r="K50" s="19">
        <f>IF(B50&lt;Datenblatt!$B$9,"",IF(B50="","",IF(G50=0,Datenblatt!$B$7,"")))</f>
        <v>6.67</v>
      </c>
      <c r="L50" s="19" t="str">
        <f t="shared" si="27"/>
        <v/>
      </c>
      <c r="M50" s="124" t="str">
        <f t="shared" si="28"/>
        <v/>
      </c>
      <c r="N50" s="124" t="str">
        <f>IF(AND(L50=Datenblatt!$B$7,NOT(L49=Datenblatt!$B$7),NOT(L51=Datenblatt!$B$7)),"y",IF(AND(L50=Datenblatt!$B$7,L51=Datenblatt!$B$7,NOT(L49=Datenblatt!$B$7)),"a",IF(AND(L50=Datenblatt!$B$7,L49=Datenblatt!$B$7,NOT(L51=Datenblatt!$B$7)),"b","")))</f>
        <v/>
      </c>
      <c r="O50" s="19" t="str">
        <f t="shared" si="29"/>
        <v/>
      </c>
      <c r="P50" s="124" t="str">
        <f>IF(AND(M50=Datenblatt!$B$7,NOT(M49=Datenblatt!$B$7),NOT(M51=Datenblatt!$B$7)),"y",IF(AND(M50=Datenblatt!$B$7,M51=Datenblatt!$B$7,NOT(M49=Datenblatt!$B$7)),"a",IF(AND(M50=Datenblatt!$B$7,M49=Datenblatt!$B$7,NOT(M51=Datenblatt!$B$7)),"b","")))</f>
        <v/>
      </c>
      <c r="Q50" s="19" t="str">
        <f t="shared" si="30"/>
        <v/>
      </c>
      <c r="R50" s="124" t="str">
        <f>IF(I50="","",IF(AND(OR(J50="Krankenstand",J50="Urlaub",J50=""), AND(G50=0,NOT(I50=""))),Datenblatt!$B$7,""))</f>
        <v/>
      </c>
      <c r="S50" s="19" t="str">
        <f>IF(OR(J50="Krankenstand",J50="Urlaub"),"",IF(J50="","",VLOOKUP(D50,Dienste!C:W,21,)))</f>
        <v/>
      </c>
      <c r="T50" s="18" t="str">
        <f>IF(OR(J50="Krankenstand",J50="Urlaub"),"",IF(J50="","",VLOOKUP(D50,Dienste!C:W,5,)))</f>
        <v/>
      </c>
      <c r="U50" s="18" t="str">
        <f>IF(OR(J50="Krankenstand",J50="Urlaub"),"",IF(J50="","",VLOOKUP(D50,Dienste!C:W,6,)))</f>
        <v/>
      </c>
      <c r="V50" s="18" t="str">
        <f>IF(OR(J50="Krankenstand",J50="Urlaub"),"",IF(J50="","",VLOOKUP(D50,Dienste!C:W,7,)))</f>
        <v/>
      </c>
      <c r="W50" s="18" t="str">
        <f>IF(OR(J50="Krankenstand",J50="Urlaub"),"",IF(J50="","",VLOOKUP(D50,Dienste!C:W,11,)))</f>
        <v/>
      </c>
      <c r="X50" s="18" t="str">
        <f>IF(OR(J50="Krankenstand",J50="Urlaub"),"",IF(J50="","",VLOOKUP(D50,Dienste!C:W,12,)))</f>
        <v/>
      </c>
      <c r="Y50" s="19" t="str">
        <f>IF(OR(J50="Krankenstand",J50="Urlaub"),"",IF(J50="","",VLOOKUP(D50,Dienste!C:W,14,)))</f>
        <v/>
      </c>
      <c r="Z50" s="20" t="str">
        <f>IF(OR(J50="Krankenstand",J50="Urlaub"),"",IF(J50="","",VLOOKUP(D50,Dienste!C:W,15,)))</f>
        <v/>
      </c>
      <c r="AA50" s="124" t="str">
        <f t="shared" si="21"/>
        <v/>
      </c>
      <c r="AB50" s="19" t="str">
        <f t="shared" si="22"/>
        <v/>
      </c>
      <c r="AC50" s="126" t="str">
        <f>_xlfn.CONCAT(_xlfn.CONCAT(IF(I50="","",_xlfn.CONCAT("FT: ",I50,IF(J50="","","; "))),IF(B50&lt;Datenblatt!$B$9,"",IF(B50="","",IF(NOT(J50=""),SUBSTITUTE(SUBSTITUTE(SUBSTITUTE(J50," mR","")," oR","")," O",""),"")))),IF(AF50="","",_xlfn.CONCAT(CHAR(10),"; ",AF50)))</f>
        <v/>
      </c>
      <c r="AD50" s="124" t="str">
        <f t="shared" si="31"/>
        <v/>
      </c>
      <c r="AE50" s="19">
        <f t="shared" si="23"/>
        <v>0</v>
      </c>
      <c r="AF50" s="156"/>
    </row>
    <row r="51" spans="2:32" s="9" customFormat="1" ht="13">
      <c r="B51" s="6">
        <f t="shared" si="24"/>
        <v>44601</v>
      </c>
      <c r="C51" s="45">
        <f>SMALL(Daten!W:W,COUNTIF(Daten!W:W,"&lt;"&amp;Stundenaufzeichnung!B51+1))</f>
        <v>44578</v>
      </c>
      <c r="D51" s="45" t="str">
        <f t="shared" si="19"/>
        <v/>
      </c>
      <c r="E51" s="8">
        <f t="shared" si="20"/>
        <v>5</v>
      </c>
      <c r="F51" s="8">
        <f t="shared" si="25"/>
        <v>3</v>
      </c>
      <c r="G51" s="8">
        <f>IF(B51="","",VLOOKUP(E51,Datenblatt!$L$2:$N$8,3,FALSE))</f>
        <v>0</v>
      </c>
      <c r="H51" s="8" t="str">
        <f t="shared" si="26"/>
        <v/>
      </c>
      <c r="I51" s="11" t="str">
        <f>IFERROR(VLOOKUP(B51,Datenblatt!$E:$F,2,FALSE),"")</f>
        <v/>
      </c>
      <c r="J51" s="113"/>
      <c r="K51" s="19">
        <f>IF(B51&lt;Datenblatt!$B$9,"",IF(B51="","",IF(G51=0,Datenblatt!$B$7,"")))</f>
        <v>6.67</v>
      </c>
      <c r="L51" s="19" t="str">
        <f t="shared" si="27"/>
        <v/>
      </c>
      <c r="M51" s="124" t="str">
        <f t="shared" si="28"/>
        <v/>
      </c>
      <c r="N51" s="124" t="str">
        <f>IF(AND(L51=Datenblatt!$B$7,NOT(L50=Datenblatt!$B$7),NOT(L52=Datenblatt!$B$7)),"y",IF(AND(L51=Datenblatt!$B$7,L52=Datenblatt!$B$7,NOT(L50=Datenblatt!$B$7)),"a",IF(AND(L51=Datenblatt!$B$7,L50=Datenblatt!$B$7,NOT(L52=Datenblatt!$B$7)),"b","")))</f>
        <v/>
      </c>
      <c r="O51" s="19" t="str">
        <f t="shared" si="29"/>
        <v/>
      </c>
      <c r="P51" s="124" t="str">
        <f>IF(AND(M51=Datenblatt!$B$7,NOT(M50=Datenblatt!$B$7),NOT(M52=Datenblatt!$B$7)),"y",IF(AND(M51=Datenblatt!$B$7,M52=Datenblatt!$B$7,NOT(M50=Datenblatt!$B$7)),"a",IF(AND(M51=Datenblatt!$B$7,M50=Datenblatt!$B$7,NOT(M52=Datenblatt!$B$7)),"b","")))</f>
        <v/>
      </c>
      <c r="Q51" s="19" t="str">
        <f t="shared" si="30"/>
        <v/>
      </c>
      <c r="R51" s="124" t="str">
        <f>IF(I51="","",IF(AND(OR(J51="Krankenstand",J51="Urlaub",J51=""), AND(G51=0,NOT(I51=""))),Datenblatt!$B$7,""))</f>
        <v/>
      </c>
      <c r="S51" s="19" t="str">
        <f>IF(OR(J51="Krankenstand",J51="Urlaub"),"",IF(J51="","",VLOOKUP(D51,Dienste!C:W,21,)))</f>
        <v/>
      </c>
      <c r="T51" s="18" t="str">
        <f>IF(OR(J51="Krankenstand",J51="Urlaub"),"",IF(J51="","",VLOOKUP(D51,Dienste!C:W,5,)))</f>
        <v/>
      </c>
      <c r="U51" s="18" t="str">
        <f>IF(OR(J51="Krankenstand",J51="Urlaub"),"",IF(J51="","",VLOOKUP(D51,Dienste!C:W,6,)))</f>
        <v/>
      </c>
      <c r="V51" s="18" t="str">
        <f>IF(OR(J51="Krankenstand",J51="Urlaub"),"",IF(J51="","",VLOOKUP(D51,Dienste!C:W,7,)))</f>
        <v/>
      </c>
      <c r="W51" s="18" t="str">
        <f>IF(OR(J51="Krankenstand",J51="Urlaub"),"",IF(J51="","",VLOOKUP(D51,Dienste!C:W,11,)))</f>
        <v/>
      </c>
      <c r="X51" s="18" t="str">
        <f>IF(OR(J51="Krankenstand",J51="Urlaub"),"",IF(J51="","",VLOOKUP(D51,Dienste!C:W,12,)))</f>
        <v/>
      </c>
      <c r="Y51" s="19" t="str">
        <f>IF(OR(J51="Krankenstand",J51="Urlaub"),"",IF(J51="","",VLOOKUP(D51,Dienste!C:W,14,)))</f>
        <v/>
      </c>
      <c r="Z51" s="20" t="str">
        <f>IF(OR(J51="Krankenstand",J51="Urlaub"),"",IF(J51="","",VLOOKUP(D51,Dienste!C:W,15,)))</f>
        <v/>
      </c>
      <c r="AA51" s="124" t="str">
        <f t="shared" si="21"/>
        <v/>
      </c>
      <c r="AB51" s="19" t="str">
        <f t="shared" si="22"/>
        <v/>
      </c>
      <c r="AC51" s="126" t="str">
        <f>_xlfn.CONCAT(_xlfn.CONCAT(IF(I51="","",_xlfn.CONCAT("FT: ",I51,IF(J51="","","; "))),IF(B51&lt;Datenblatt!$B$9,"",IF(B51="","",IF(NOT(J51=""),SUBSTITUTE(SUBSTITUTE(SUBSTITUTE(J51," mR","")," oR","")," O",""),"")))),IF(AF51="","",_xlfn.CONCAT(CHAR(10),"; ",AF51)))</f>
        <v/>
      </c>
      <c r="AD51" s="124" t="str">
        <f t="shared" si="31"/>
        <v/>
      </c>
      <c r="AE51" s="19">
        <f t="shared" si="23"/>
        <v>0</v>
      </c>
      <c r="AF51" s="156"/>
    </row>
    <row r="52" spans="2:32" s="9" customFormat="1" ht="13">
      <c r="B52" s="6">
        <f t="shared" si="24"/>
        <v>44602</v>
      </c>
      <c r="C52" s="45">
        <f>SMALL(Daten!W:W,COUNTIF(Daten!W:W,"&lt;"&amp;Stundenaufzeichnung!B52+1))</f>
        <v>44578</v>
      </c>
      <c r="D52" s="45" t="str">
        <f t="shared" si="19"/>
        <v/>
      </c>
      <c r="E52" s="8">
        <f t="shared" si="20"/>
        <v>6</v>
      </c>
      <c r="F52" s="8">
        <f t="shared" si="25"/>
        <v>4</v>
      </c>
      <c r="G52" s="8">
        <f>IF(B52="","",VLOOKUP(E52,Datenblatt!$L$2:$N$8,3,FALSE))</f>
        <v>0</v>
      </c>
      <c r="H52" s="8" t="str">
        <f t="shared" si="26"/>
        <v/>
      </c>
      <c r="I52" s="11" t="str">
        <f>IFERROR(VLOOKUP(B52,Datenblatt!$E:$F,2,FALSE),"")</f>
        <v/>
      </c>
      <c r="J52" s="113"/>
      <c r="K52" s="19">
        <f>IF(B52&lt;Datenblatt!$B$9,"",IF(B52="","",IF(G52=0,Datenblatt!$B$7,"")))</f>
        <v>6.67</v>
      </c>
      <c r="L52" s="19" t="str">
        <f t="shared" si="27"/>
        <v/>
      </c>
      <c r="M52" s="124" t="str">
        <f t="shared" si="28"/>
        <v/>
      </c>
      <c r="N52" s="124" t="str">
        <f>IF(AND(L52=Datenblatt!$B$7,NOT(L51=Datenblatt!$B$7),NOT(L53=Datenblatt!$B$7)),"y",IF(AND(L52=Datenblatt!$B$7,L53=Datenblatt!$B$7,NOT(L51=Datenblatt!$B$7)),"a",IF(AND(L52=Datenblatt!$B$7,L51=Datenblatt!$B$7,NOT(L53=Datenblatt!$B$7)),"b","")))</f>
        <v/>
      </c>
      <c r="O52" s="19" t="str">
        <f t="shared" si="29"/>
        <v/>
      </c>
      <c r="P52" s="124" t="str">
        <f>IF(AND(M52=Datenblatt!$B$7,NOT(M51=Datenblatt!$B$7),NOT(M53=Datenblatt!$B$7)),"y",IF(AND(M52=Datenblatt!$B$7,M53=Datenblatt!$B$7,NOT(M51=Datenblatt!$B$7)),"a",IF(AND(M52=Datenblatt!$B$7,M51=Datenblatt!$B$7,NOT(M53=Datenblatt!$B$7)),"b","")))</f>
        <v/>
      </c>
      <c r="Q52" s="19" t="str">
        <f t="shared" si="30"/>
        <v/>
      </c>
      <c r="R52" s="124" t="str">
        <f>IF(I52="","",IF(AND(OR(J52="Krankenstand",J52="Urlaub",J52=""), AND(G52=0,NOT(I52=""))),Datenblatt!$B$7,""))</f>
        <v/>
      </c>
      <c r="S52" s="19" t="str">
        <f>IF(OR(J52="Krankenstand",J52="Urlaub"),"",IF(J52="","",VLOOKUP(D52,Dienste!C:W,21,)))</f>
        <v/>
      </c>
      <c r="T52" s="18" t="str">
        <f>IF(OR(J52="Krankenstand",J52="Urlaub"),"",IF(J52="","",VLOOKUP(D52,Dienste!C:W,5,)))</f>
        <v/>
      </c>
      <c r="U52" s="18" t="str">
        <f>IF(OR(J52="Krankenstand",J52="Urlaub"),"",IF(J52="","",VLOOKUP(D52,Dienste!C:W,6,)))</f>
        <v/>
      </c>
      <c r="V52" s="18" t="str">
        <f>IF(OR(J52="Krankenstand",J52="Urlaub"),"",IF(J52="","",VLOOKUP(D52,Dienste!C:W,7,)))</f>
        <v/>
      </c>
      <c r="W52" s="18" t="str">
        <f>IF(OR(J52="Krankenstand",J52="Urlaub"),"",IF(J52="","",VLOOKUP(D52,Dienste!C:W,11,)))</f>
        <v/>
      </c>
      <c r="X52" s="18" t="str">
        <f>IF(OR(J52="Krankenstand",J52="Urlaub"),"",IF(J52="","",VLOOKUP(D52,Dienste!C:W,12,)))</f>
        <v/>
      </c>
      <c r="Y52" s="19" t="str">
        <f>IF(OR(J52="Krankenstand",J52="Urlaub"),"",IF(J52="","",VLOOKUP(D52,Dienste!C:W,14,)))</f>
        <v/>
      </c>
      <c r="Z52" s="20" t="str">
        <f>IF(OR(J52="Krankenstand",J52="Urlaub"),"",IF(J52="","",VLOOKUP(D52,Dienste!C:W,15,)))</f>
        <v/>
      </c>
      <c r="AA52" s="124" t="str">
        <f t="shared" si="21"/>
        <v/>
      </c>
      <c r="AB52" s="19" t="str">
        <f t="shared" si="22"/>
        <v/>
      </c>
      <c r="AC52" s="126" t="str">
        <f>_xlfn.CONCAT(_xlfn.CONCAT(IF(I52="","",_xlfn.CONCAT("FT: ",I52,IF(J52="","","; "))),IF(B52&lt;Datenblatt!$B$9,"",IF(B52="","",IF(NOT(J52=""),SUBSTITUTE(SUBSTITUTE(SUBSTITUTE(J52," mR","")," oR","")," O",""),"")))),IF(AF52="","",_xlfn.CONCAT(CHAR(10),"; ",AF52)))</f>
        <v/>
      </c>
      <c r="AD52" s="124" t="str">
        <f t="shared" si="31"/>
        <v/>
      </c>
      <c r="AE52" s="19">
        <f t="shared" si="23"/>
        <v>0</v>
      </c>
      <c r="AF52" s="156"/>
    </row>
    <row r="53" spans="2:32" s="9" customFormat="1" ht="13">
      <c r="B53" s="6">
        <f t="shared" si="24"/>
        <v>44603</v>
      </c>
      <c r="C53" s="45">
        <f>SMALL(Daten!W:W,COUNTIF(Daten!W:W,"&lt;"&amp;Stundenaufzeichnung!B53+1))</f>
        <v>44578</v>
      </c>
      <c r="D53" s="45" t="str">
        <f t="shared" si="19"/>
        <v/>
      </c>
      <c r="E53" s="8">
        <f t="shared" si="20"/>
        <v>7</v>
      </c>
      <c r="F53" s="8">
        <f t="shared" si="25"/>
        <v>5</v>
      </c>
      <c r="G53" s="8">
        <f>IF(B53="","",VLOOKUP(E53,Datenblatt!$L$2:$N$8,3,FALSE))</f>
        <v>0</v>
      </c>
      <c r="H53" s="8" t="str">
        <f t="shared" si="26"/>
        <v/>
      </c>
      <c r="I53" s="11" t="str">
        <f>IFERROR(VLOOKUP(B53,Datenblatt!$E:$F,2,FALSE),"")</f>
        <v/>
      </c>
      <c r="J53" s="113"/>
      <c r="K53" s="19">
        <f>IF(B53&lt;Datenblatt!$B$9,"",IF(B53="","",IF(G53=0,Datenblatt!$B$7,"")))</f>
        <v>6.67</v>
      </c>
      <c r="L53" s="19" t="str">
        <f t="shared" si="27"/>
        <v/>
      </c>
      <c r="M53" s="124" t="str">
        <f t="shared" si="28"/>
        <v/>
      </c>
      <c r="N53" s="124" t="str">
        <f>IF(AND(L53=Datenblatt!$B$7,NOT(L52=Datenblatt!$B$7),NOT(L54=Datenblatt!$B$7)),"y",IF(AND(L53=Datenblatt!$B$7,L54=Datenblatt!$B$7,NOT(L52=Datenblatt!$B$7)),"a",IF(AND(L53=Datenblatt!$B$7,L52=Datenblatt!$B$7,NOT(L54=Datenblatt!$B$7)),"b","")))</f>
        <v/>
      </c>
      <c r="O53" s="19" t="str">
        <f t="shared" si="29"/>
        <v/>
      </c>
      <c r="P53" s="124" t="str">
        <f>IF(AND(M53=Datenblatt!$B$7,NOT(M52=Datenblatt!$B$7),NOT(M54=Datenblatt!$B$7)),"y",IF(AND(M53=Datenblatt!$B$7,M54=Datenblatt!$B$7,NOT(M52=Datenblatt!$B$7)),"a",IF(AND(M53=Datenblatt!$B$7,M52=Datenblatt!$B$7,NOT(M54=Datenblatt!$B$7)),"b","")))</f>
        <v/>
      </c>
      <c r="Q53" s="19" t="str">
        <f t="shared" si="30"/>
        <v/>
      </c>
      <c r="R53" s="124" t="str">
        <f>IF(I53="","",IF(AND(OR(J53="Krankenstand",J53="Urlaub",J53=""), AND(G53=0,NOT(I53=""))),Datenblatt!$B$7,""))</f>
        <v/>
      </c>
      <c r="S53" s="19" t="str">
        <f>IF(OR(J53="Krankenstand",J53="Urlaub"),"",IF(J53="","",VLOOKUP(D53,Dienste!C:W,21,)))</f>
        <v/>
      </c>
      <c r="T53" s="18" t="str">
        <f>IF(OR(J53="Krankenstand",J53="Urlaub"),"",IF(J53="","",VLOOKUP(D53,Dienste!C:W,5,)))</f>
        <v/>
      </c>
      <c r="U53" s="18" t="str">
        <f>IF(OR(J53="Krankenstand",J53="Urlaub"),"",IF(J53="","",VLOOKUP(D53,Dienste!C:W,6,)))</f>
        <v/>
      </c>
      <c r="V53" s="18" t="str">
        <f>IF(OR(J53="Krankenstand",J53="Urlaub"),"",IF(J53="","",VLOOKUP(D53,Dienste!C:W,7,)))</f>
        <v/>
      </c>
      <c r="W53" s="18" t="str">
        <f>IF(OR(J53="Krankenstand",J53="Urlaub"),"",IF(J53="","",VLOOKUP(D53,Dienste!C:W,11,)))</f>
        <v/>
      </c>
      <c r="X53" s="18" t="str">
        <f>IF(OR(J53="Krankenstand",J53="Urlaub"),"",IF(J53="","",VLOOKUP(D53,Dienste!C:W,12,)))</f>
        <v/>
      </c>
      <c r="Y53" s="19" t="str">
        <f>IF(OR(J53="Krankenstand",J53="Urlaub"),"",IF(J53="","",VLOOKUP(D53,Dienste!C:W,14,)))</f>
        <v/>
      </c>
      <c r="Z53" s="20" t="str">
        <f>IF(OR(J53="Krankenstand",J53="Urlaub"),"",IF(J53="","",VLOOKUP(D53,Dienste!C:W,15,)))</f>
        <v/>
      </c>
      <c r="AA53" s="124" t="str">
        <f t="shared" si="21"/>
        <v/>
      </c>
      <c r="AB53" s="19" t="str">
        <f t="shared" si="22"/>
        <v/>
      </c>
      <c r="AC53" s="126" t="str">
        <f>_xlfn.CONCAT(_xlfn.CONCAT(IF(I53="","",_xlfn.CONCAT("FT: ",I53,IF(J53="","","; "))),IF(B53&lt;Datenblatt!$B$9,"",IF(B53="","",IF(NOT(J53=""),SUBSTITUTE(SUBSTITUTE(SUBSTITUTE(J53," mR","")," oR","")," O",""),"")))),IF(AF53="","",_xlfn.CONCAT(CHAR(10),"; ",AF53)))</f>
        <v/>
      </c>
      <c r="AD53" s="124" t="str">
        <f t="shared" si="31"/>
        <v/>
      </c>
      <c r="AE53" s="19">
        <f t="shared" si="23"/>
        <v>0</v>
      </c>
      <c r="AF53" s="156"/>
    </row>
    <row r="54" spans="2:32" s="9" customFormat="1" ht="13">
      <c r="B54" s="6">
        <f t="shared" si="24"/>
        <v>44604</v>
      </c>
      <c r="C54" s="45">
        <f>SMALL(Daten!W:W,COUNTIF(Daten!W:W,"&lt;"&amp;Stundenaufzeichnung!B54+1))</f>
        <v>44578</v>
      </c>
      <c r="D54" s="45" t="str">
        <f t="shared" si="19"/>
        <v/>
      </c>
      <c r="E54" s="8">
        <f t="shared" si="20"/>
        <v>1</v>
      </c>
      <c r="F54" s="8">
        <f t="shared" si="25"/>
        <v>6</v>
      </c>
      <c r="G54" s="8">
        <f>IF(B54="","",VLOOKUP(E54,Datenblatt!$L$2:$N$8,3,FALSE))</f>
        <v>0</v>
      </c>
      <c r="H54" s="8" t="str">
        <f t="shared" si="26"/>
        <v/>
      </c>
      <c r="I54" s="11" t="str">
        <f>IFERROR(VLOOKUP(B54,Datenblatt!$E:$F,2,FALSE),"")</f>
        <v/>
      </c>
      <c r="J54" s="113"/>
      <c r="K54" s="19">
        <f>IF(B54&lt;Datenblatt!$B$9,"",IF(B54="","",IF(G54=0,Datenblatt!$B$7,"")))</f>
        <v>6.67</v>
      </c>
      <c r="L54" s="19" t="str">
        <f t="shared" si="27"/>
        <v/>
      </c>
      <c r="M54" s="124" t="str">
        <f t="shared" si="28"/>
        <v/>
      </c>
      <c r="N54" s="124" t="str">
        <f>IF(AND(L54=Datenblatt!$B$7,NOT(L53=Datenblatt!$B$7),NOT(L55=Datenblatt!$B$7)),"y",IF(AND(L54=Datenblatt!$B$7,L55=Datenblatt!$B$7,NOT(L53=Datenblatt!$B$7)),"a",IF(AND(L54=Datenblatt!$B$7,L53=Datenblatt!$B$7,NOT(L55=Datenblatt!$B$7)),"b","")))</f>
        <v/>
      </c>
      <c r="O54" s="19" t="str">
        <f t="shared" si="29"/>
        <v/>
      </c>
      <c r="P54" s="124" t="str">
        <f>IF(AND(M54=Datenblatt!$B$7,NOT(M53=Datenblatt!$B$7),NOT(M55=Datenblatt!$B$7)),"y",IF(AND(M54=Datenblatt!$B$7,M55=Datenblatt!$B$7,NOT(M53=Datenblatt!$B$7)),"a",IF(AND(M54=Datenblatt!$B$7,M53=Datenblatt!$B$7,NOT(M55=Datenblatt!$B$7)),"b","")))</f>
        <v/>
      </c>
      <c r="Q54" s="19" t="str">
        <f t="shared" si="30"/>
        <v/>
      </c>
      <c r="R54" s="124" t="str">
        <f>IF(I54="","",IF(AND(OR(J54="Krankenstand",J54="Urlaub",J54=""), AND(G54=0,NOT(I54=""))),Datenblatt!$B$7,""))</f>
        <v/>
      </c>
      <c r="S54" s="19" t="str">
        <f>IF(OR(J54="Krankenstand",J54="Urlaub"),"",IF(J54="","",VLOOKUP(D54,Dienste!C:W,21,)))</f>
        <v/>
      </c>
      <c r="T54" s="18" t="str">
        <f>IF(OR(J54="Krankenstand",J54="Urlaub"),"",IF(J54="","",VLOOKUP(D54,Dienste!C:W,5,)))</f>
        <v/>
      </c>
      <c r="U54" s="18" t="str">
        <f>IF(OR(J54="Krankenstand",J54="Urlaub"),"",IF(J54="","",VLOOKUP(D54,Dienste!C:W,6,)))</f>
        <v/>
      </c>
      <c r="V54" s="18" t="str">
        <f>IF(OR(J54="Krankenstand",J54="Urlaub"),"",IF(J54="","",VLOOKUP(D54,Dienste!C:W,7,)))</f>
        <v/>
      </c>
      <c r="W54" s="18" t="str">
        <f>IF(OR(J54="Krankenstand",J54="Urlaub"),"",IF(J54="","",VLOOKUP(D54,Dienste!C:W,11,)))</f>
        <v/>
      </c>
      <c r="X54" s="18" t="str">
        <f>IF(OR(J54="Krankenstand",J54="Urlaub"),"",IF(J54="","",VLOOKUP(D54,Dienste!C:W,12,)))</f>
        <v/>
      </c>
      <c r="Y54" s="19" t="str">
        <f>IF(OR(J54="Krankenstand",J54="Urlaub"),"",IF(J54="","",VLOOKUP(D54,Dienste!C:W,14,)))</f>
        <v/>
      </c>
      <c r="Z54" s="20" t="str">
        <f>IF(OR(J54="Krankenstand",J54="Urlaub"),"",IF(J54="","",VLOOKUP(D54,Dienste!C:W,15,)))</f>
        <v/>
      </c>
      <c r="AA54" s="124" t="str">
        <f t="shared" si="21"/>
        <v/>
      </c>
      <c r="AB54" s="19" t="str">
        <f t="shared" si="22"/>
        <v/>
      </c>
      <c r="AC54" s="126" t="str">
        <f>_xlfn.CONCAT(_xlfn.CONCAT(IF(I54="","",_xlfn.CONCAT("FT: ",I54,IF(J54="","","; "))),IF(B54&lt;Datenblatt!$B$9,"",IF(B54="","",IF(NOT(J54=""),SUBSTITUTE(SUBSTITUTE(SUBSTITUTE(J54," mR","")," oR","")," O",""),"")))),IF(AF54="","",_xlfn.CONCAT(CHAR(10),"; ",AF54)))</f>
        <v/>
      </c>
      <c r="AD54" s="124" t="str">
        <f t="shared" si="31"/>
        <v/>
      </c>
      <c r="AE54" s="19">
        <f t="shared" si="23"/>
        <v>0</v>
      </c>
      <c r="AF54" s="156"/>
    </row>
    <row r="55" spans="2:32" s="9" customFormat="1" ht="13">
      <c r="B55" s="6">
        <f t="shared" si="24"/>
        <v>44605</v>
      </c>
      <c r="C55" s="45">
        <f>SMALL(Daten!W:W,COUNTIF(Daten!W:W,"&lt;"&amp;Stundenaufzeichnung!B55+1))</f>
        <v>44578</v>
      </c>
      <c r="D55" s="45" t="str">
        <f t="shared" si="19"/>
        <v/>
      </c>
      <c r="E55" s="8">
        <f t="shared" si="20"/>
        <v>2</v>
      </c>
      <c r="F55" s="8">
        <f t="shared" si="25"/>
        <v>7</v>
      </c>
      <c r="G55" s="8">
        <f>IF(B55="","",VLOOKUP(E55,Datenblatt!$L$2:$N$8,3,FALSE))</f>
        <v>1</v>
      </c>
      <c r="H55" s="8" t="str">
        <f t="shared" si="26"/>
        <v>x</v>
      </c>
      <c r="I55" s="11" t="str">
        <f>IFERROR(VLOOKUP(B55,Datenblatt!$E:$F,2,FALSE),"")</f>
        <v/>
      </c>
      <c r="J55" s="113"/>
      <c r="K55" s="19" t="str">
        <f>IF(B55&lt;Datenblatt!$B$9,"",IF(B55="","",IF(G55=0,Datenblatt!$B$7,"")))</f>
        <v/>
      </c>
      <c r="L55" s="19" t="str">
        <f t="shared" si="27"/>
        <v/>
      </c>
      <c r="M55" s="124" t="str">
        <f t="shared" si="28"/>
        <v/>
      </c>
      <c r="N55" s="124" t="str">
        <f>IF(AND(L55=Datenblatt!$B$7,NOT(L54=Datenblatt!$B$7),NOT(L56=Datenblatt!$B$7)),"y",IF(AND(L55=Datenblatt!$B$7,L56=Datenblatt!$B$7,NOT(L54=Datenblatt!$B$7)),"a",IF(AND(L55=Datenblatt!$B$7,L54=Datenblatt!$B$7,NOT(L56=Datenblatt!$B$7)),"b","")))</f>
        <v/>
      </c>
      <c r="O55" s="19" t="str">
        <f t="shared" si="29"/>
        <v/>
      </c>
      <c r="P55" s="124" t="str">
        <f>IF(AND(M55=Datenblatt!$B$7,NOT(M54=Datenblatt!$B$7),NOT(M56=Datenblatt!$B$7)),"y",IF(AND(M55=Datenblatt!$B$7,M56=Datenblatt!$B$7,NOT(M54=Datenblatt!$B$7)),"a",IF(AND(M55=Datenblatt!$B$7,M54=Datenblatt!$B$7,NOT(M56=Datenblatt!$B$7)),"b","")))</f>
        <v/>
      </c>
      <c r="Q55" s="19" t="str">
        <f t="shared" si="30"/>
        <v/>
      </c>
      <c r="R55" s="124" t="str">
        <f>IF(I55="","",IF(AND(OR(J55="Krankenstand",J55="Urlaub",J55=""), AND(G55=0,NOT(I55=""))),Datenblatt!$B$7,""))</f>
        <v/>
      </c>
      <c r="S55" s="19" t="str">
        <f>IF(OR(J55="Krankenstand",J55="Urlaub"),"",IF(J55="","",VLOOKUP(D55,Dienste!C:W,21,)))</f>
        <v/>
      </c>
      <c r="T55" s="18" t="str">
        <f>IF(OR(J55="Krankenstand",J55="Urlaub"),"",IF(J55="","",VLOOKUP(D55,Dienste!C:W,5,)))</f>
        <v/>
      </c>
      <c r="U55" s="18" t="str">
        <f>IF(OR(J55="Krankenstand",J55="Urlaub"),"",IF(J55="","",VLOOKUP(D55,Dienste!C:W,6,)))</f>
        <v/>
      </c>
      <c r="V55" s="18" t="str">
        <f>IF(OR(J55="Krankenstand",J55="Urlaub"),"",IF(J55="","",VLOOKUP(D55,Dienste!C:W,7,)))</f>
        <v/>
      </c>
      <c r="W55" s="18" t="str">
        <f>IF(OR(J55="Krankenstand",J55="Urlaub"),"",IF(J55="","",VLOOKUP(D55,Dienste!C:W,11,)))</f>
        <v/>
      </c>
      <c r="X55" s="18" t="str">
        <f>IF(OR(J55="Krankenstand",J55="Urlaub"),"",IF(J55="","",VLOOKUP(D55,Dienste!C:W,12,)))</f>
        <v/>
      </c>
      <c r="Y55" s="19" t="str">
        <f>IF(OR(J55="Krankenstand",J55="Urlaub"),"",IF(J55="","",VLOOKUP(D55,Dienste!C:W,14,)))</f>
        <v/>
      </c>
      <c r="Z55" s="20" t="str">
        <f>IF(OR(J55="Krankenstand",J55="Urlaub"),"",IF(J55="","",VLOOKUP(D55,Dienste!C:W,15,)))</f>
        <v/>
      </c>
      <c r="AA55" s="124" t="str">
        <f t="shared" si="21"/>
        <v/>
      </c>
      <c r="AB55" s="19" t="str">
        <f t="shared" si="22"/>
        <v/>
      </c>
      <c r="AC55" s="126" t="str">
        <f>_xlfn.CONCAT(_xlfn.CONCAT(IF(I55="","",_xlfn.CONCAT("FT: ",I55,IF(J55="","","; "))),IF(B55&lt;Datenblatt!$B$9,"",IF(B55="","",IF(NOT(J55=""),SUBSTITUTE(SUBSTITUTE(SUBSTITUTE(J55," mR","")," oR","")," O",""),"")))),IF(AF55="","",_xlfn.CONCAT(CHAR(10),"; ",AF55)))</f>
        <v/>
      </c>
      <c r="AD55" s="124" t="str">
        <f t="shared" si="31"/>
        <v/>
      </c>
      <c r="AE55" s="19">
        <f t="shared" si="23"/>
        <v>0</v>
      </c>
      <c r="AF55" s="156"/>
    </row>
    <row r="56" spans="2:32" s="9" customFormat="1" ht="13">
      <c r="B56" s="6">
        <f t="shared" si="24"/>
        <v>44606</v>
      </c>
      <c r="C56" s="45">
        <f>SMALL(Daten!W:W,COUNTIF(Daten!W:W,"&lt;"&amp;Stundenaufzeichnung!B56+1))</f>
        <v>44578</v>
      </c>
      <c r="D56" s="45" t="str">
        <f t="shared" si="19"/>
        <v/>
      </c>
      <c r="E56" s="8">
        <f t="shared" si="20"/>
        <v>3</v>
      </c>
      <c r="F56" s="8">
        <f t="shared" si="25"/>
        <v>1</v>
      </c>
      <c r="G56" s="8">
        <f>IF(B56="","",VLOOKUP(E56,Datenblatt!$L$2:$N$8,3,FALSE))</f>
        <v>0</v>
      </c>
      <c r="H56" s="8" t="str">
        <f t="shared" si="26"/>
        <v/>
      </c>
      <c r="I56" s="11" t="str">
        <f>IFERROR(VLOOKUP(B56,Datenblatt!$E:$F,2,FALSE),"")</f>
        <v/>
      </c>
      <c r="J56" s="113"/>
      <c r="K56" s="19">
        <f>IF(B56&lt;Datenblatt!$B$9,"",IF(B56="","",IF(G56=0,Datenblatt!$B$7,"")))</f>
        <v>6.67</v>
      </c>
      <c r="L56" s="19" t="str">
        <f t="shared" si="27"/>
        <v/>
      </c>
      <c r="M56" s="124" t="str">
        <f t="shared" si="28"/>
        <v/>
      </c>
      <c r="N56" s="124" t="str">
        <f>IF(AND(L56=Datenblatt!$B$7,NOT(L55=Datenblatt!$B$7),NOT(L57=Datenblatt!$B$7)),"y",IF(AND(L56=Datenblatt!$B$7,L57=Datenblatt!$B$7,NOT(L55=Datenblatt!$B$7)),"a",IF(AND(L56=Datenblatt!$B$7,L55=Datenblatt!$B$7,NOT(L57=Datenblatt!$B$7)),"b","")))</f>
        <v/>
      </c>
      <c r="O56" s="19" t="str">
        <f t="shared" si="29"/>
        <v/>
      </c>
      <c r="P56" s="124" t="str">
        <f>IF(AND(M56=Datenblatt!$B$7,NOT(M55=Datenblatt!$B$7),NOT(M57=Datenblatt!$B$7)),"y",IF(AND(M56=Datenblatt!$B$7,M57=Datenblatt!$B$7,NOT(M55=Datenblatt!$B$7)),"a",IF(AND(M56=Datenblatt!$B$7,M55=Datenblatt!$B$7,NOT(M57=Datenblatt!$B$7)),"b","")))</f>
        <v/>
      </c>
      <c r="Q56" s="19" t="str">
        <f t="shared" si="30"/>
        <v/>
      </c>
      <c r="R56" s="124" t="str">
        <f>IF(I56="","",IF(AND(OR(J56="Krankenstand",J56="Urlaub",J56=""), AND(G56=0,NOT(I56=""))),Datenblatt!$B$7,""))</f>
        <v/>
      </c>
      <c r="S56" s="19" t="str">
        <f>IF(OR(J56="Krankenstand",J56="Urlaub"),"",IF(J56="","",VLOOKUP(D56,Dienste!C:W,21,)))</f>
        <v/>
      </c>
      <c r="T56" s="18" t="str">
        <f>IF(OR(J56="Krankenstand",J56="Urlaub"),"",IF(J56="","",VLOOKUP(D56,Dienste!C:W,5,)))</f>
        <v/>
      </c>
      <c r="U56" s="18" t="str">
        <f>IF(OR(J56="Krankenstand",J56="Urlaub"),"",IF(J56="","",VLOOKUP(D56,Dienste!C:W,6,)))</f>
        <v/>
      </c>
      <c r="V56" s="18" t="str">
        <f>IF(OR(J56="Krankenstand",J56="Urlaub"),"",IF(J56="","",VLOOKUP(D56,Dienste!C:W,7,)))</f>
        <v/>
      </c>
      <c r="W56" s="18" t="str">
        <f>IF(OR(J56="Krankenstand",J56="Urlaub"),"",IF(J56="","",VLOOKUP(D56,Dienste!C:W,11,)))</f>
        <v/>
      </c>
      <c r="X56" s="18" t="str">
        <f>IF(OR(J56="Krankenstand",J56="Urlaub"),"",IF(J56="","",VLOOKUP(D56,Dienste!C:W,12,)))</f>
        <v/>
      </c>
      <c r="Y56" s="19" t="str">
        <f>IF(OR(J56="Krankenstand",J56="Urlaub"),"",IF(J56="","",VLOOKUP(D56,Dienste!C:W,14,)))</f>
        <v/>
      </c>
      <c r="Z56" s="20" t="str">
        <f>IF(OR(J56="Krankenstand",J56="Urlaub"),"",IF(J56="","",VLOOKUP(D56,Dienste!C:W,15,)))</f>
        <v/>
      </c>
      <c r="AA56" s="124" t="str">
        <f t="shared" si="21"/>
        <v/>
      </c>
      <c r="AB56" s="19" t="str">
        <f t="shared" si="22"/>
        <v/>
      </c>
      <c r="AC56" s="126" t="str">
        <f>_xlfn.CONCAT(_xlfn.CONCAT(IF(I56="","",_xlfn.CONCAT("FT: ",I56,IF(J56="","","; "))),IF(B56&lt;Datenblatt!$B$9,"",IF(B56="","",IF(NOT(J56=""),SUBSTITUTE(SUBSTITUTE(SUBSTITUTE(J56," mR","")," oR","")," O",""),"")))),IF(AF56="","",_xlfn.CONCAT(CHAR(10),"; ",AF56)))</f>
        <v/>
      </c>
      <c r="AD56" s="124" t="str">
        <f t="shared" si="31"/>
        <v/>
      </c>
      <c r="AE56" s="19">
        <f t="shared" si="23"/>
        <v>0</v>
      </c>
      <c r="AF56" s="156"/>
    </row>
    <row r="57" spans="2:32" s="9" customFormat="1" ht="13">
      <c r="B57" s="6">
        <f t="shared" si="24"/>
        <v>44607</v>
      </c>
      <c r="C57" s="45">
        <f>SMALL(Daten!W:W,COUNTIF(Daten!W:W,"&lt;"&amp;Stundenaufzeichnung!B57+1))</f>
        <v>44578</v>
      </c>
      <c r="D57" s="45" t="str">
        <f t="shared" si="19"/>
        <v/>
      </c>
      <c r="E57" s="8">
        <f t="shared" si="20"/>
        <v>4</v>
      </c>
      <c r="F57" s="8">
        <f t="shared" si="25"/>
        <v>2</v>
      </c>
      <c r="G57" s="8">
        <f>IF(B57="","",VLOOKUP(E57,Datenblatt!$L$2:$N$8,3,FALSE))</f>
        <v>0</v>
      </c>
      <c r="H57" s="8" t="str">
        <f t="shared" si="26"/>
        <v/>
      </c>
      <c r="I57" s="11" t="str">
        <f>IFERROR(VLOOKUP(B57,Datenblatt!$E:$F,2,FALSE),"")</f>
        <v/>
      </c>
      <c r="J57" s="113"/>
      <c r="K57" s="19">
        <f>IF(B57&lt;Datenblatt!$B$9,"",IF(B57="","",IF(G57=0,Datenblatt!$B$7,"")))</f>
        <v>6.67</v>
      </c>
      <c r="L57" s="19" t="str">
        <f t="shared" si="27"/>
        <v/>
      </c>
      <c r="M57" s="124" t="str">
        <f t="shared" si="28"/>
        <v/>
      </c>
      <c r="N57" s="124" t="str">
        <f>IF(AND(L57=Datenblatt!$B$7,NOT(L56=Datenblatt!$B$7),NOT(L58=Datenblatt!$B$7)),"y",IF(AND(L57=Datenblatt!$B$7,L58=Datenblatt!$B$7,NOT(L56=Datenblatt!$B$7)),"a",IF(AND(L57=Datenblatt!$B$7,L56=Datenblatt!$B$7,NOT(L58=Datenblatt!$B$7)),"b","")))</f>
        <v/>
      </c>
      <c r="O57" s="19" t="str">
        <f t="shared" si="29"/>
        <v/>
      </c>
      <c r="P57" s="124" t="str">
        <f>IF(AND(M57=Datenblatt!$B$7,NOT(M56=Datenblatt!$B$7),NOT(M58=Datenblatt!$B$7)),"y",IF(AND(M57=Datenblatt!$B$7,M58=Datenblatt!$B$7,NOT(M56=Datenblatt!$B$7)),"a",IF(AND(M57=Datenblatt!$B$7,M56=Datenblatt!$B$7,NOT(M58=Datenblatt!$B$7)),"b","")))</f>
        <v/>
      </c>
      <c r="Q57" s="19" t="str">
        <f t="shared" si="30"/>
        <v/>
      </c>
      <c r="R57" s="124" t="str">
        <f>IF(I57="","",IF(AND(OR(J57="Krankenstand",J57="Urlaub",J57=""), AND(G57=0,NOT(I57=""))),Datenblatt!$B$7,""))</f>
        <v/>
      </c>
      <c r="S57" s="19" t="str">
        <f>IF(OR(J57="Krankenstand",J57="Urlaub"),"",IF(J57="","",VLOOKUP(D57,Dienste!C:W,21,)))</f>
        <v/>
      </c>
      <c r="T57" s="18" t="str">
        <f>IF(OR(J57="Krankenstand",J57="Urlaub"),"",IF(J57="","",VLOOKUP(D57,Dienste!C:W,5,)))</f>
        <v/>
      </c>
      <c r="U57" s="18" t="str">
        <f>IF(OR(J57="Krankenstand",J57="Urlaub"),"",IF(J57="","",VLOOKUP(D57,Dienste!C:W,6,)))</f>
        <v/>
      </c>
      <c r="V57" s="18" t="str">
        <f>IF(OR(J57="Krankenstand",J57="Urlaub"),"",IF(J57="","",VLOOKUP(D57,Dienste!C:W,7,)))</f>
        <v/>
      </c>
      <c r="W57" s="18" t="str">
        <f>IF(OR(J57="Krankenstand",J57="Urlaub"),"",IF(J57="","",VLOOKUP(D57,Dienste!C:W,11,)))</f>
        <v/>
      </c>
      <c r="X57" s="18" t="str">
        <f>IF(OR(J57="Krankenstand",J57="Urlaub"),"",IF(J57="","",VLOOKUP(D57,Dienste!C:W,12,)))</f>
        <v/>
      </c>
      <c r="Y57" s="19" t="str">
        <f>IF(OR(J57="Krankenstand",J57="Urlaub"),"",IF(J57="","",VLOOKUP(D57,Dienste!C:W,14,)))</f>
        <v/>
      </c>
      <c r="Z57" s="20" t="str">
        <f>IF(OR(J57="Krankenstand",J57="Urlaub"),"",IF(J57="","",VLOOKUP(D57,Dienste!C:W,15,)))</f>
        <v/>
      </c>
      <c r="AA57" s="124" t="str">
        <f t="shared" si="21"/>
        <v/>
      </c>
      <c r="AB57" s="19" t="str">
        <f t="shared" si="22"/>
        <v/>
      </c>
      <c r="AC57" s="126" t="str">
        <f>_xlfn.CONCAT(_xlfn.CONCAT(IF(I57="","",_xlfn.CONCAT("FT: ",I57,IF(J57="","","; "))),IF(B57&lt;Datenblatt!$B$9,"",IF(B57="","",IF(NOT(J57=""),SUBSTITUTE(SUBSTITUTE(SUBSTITUTE(J57," mR","")," oR","")," O",""),"")))),IF(AF57="","",_xlfn.CONCAT(CHAR(10),"; ",AF57)))</f>
        <v/>
      </c>
      <c r="AD57" s="124" t="str">
        <f t="shared" si="31"/>
        <v/>
      </c>
      <c r="AE57" s="19">
        <f t="shared" si="23"/>
        <v>0</v>
      </c>
      <c r="AF57" s="156"/>
    </row>
    <row r="58" spans="2:32" s="9" customFormat="1" ht="13">
      <c r="B58" s="6">
        <f t="shared" si="24"/>
        <v>44608</v>
      </c>
      <c r="C58" s="45">
        <f>SMALL(Daten!W:W,COUNTIF(Daten!W:W,"&lt;"&amp;Stundenaufzeichnung!B58+1))</f>
        <v>44578</v>
      </c>
      <c r="D58" s="45" t="str">
        <f t="shared" si="19"/>
        <v/>
      </c>
      <c r="E58" s="8">
        <f t="shared" si="20"/>
        <v>5</v>
      </c>
      <c r="F58" s="8">
        <f t="shared" si="25"/>
        <v>3</v>
      </c>
      <c r="G58" s="8">
        <f>IF(B58="","",VLOOKUP(E58,Datenblatt!$L$2:$N$8,3,FALSE))</f>
        <v>0</v>
      </c>
      <c r="H58" s="8" t="str">
        <f t="shared" si="26"/>
        <v/>
      </c>
      <c r="I58" s="11" t="str">
        <f>IFERROR(VLOOKUP(B58,Datenblatt!$E:$F,2,FALSE),"")</f>
        <v/>
      </c>
      <c r="J58" s="113"/>
      <c r="K58" s="19">
        <f>IF(B58&lt;Datenblatt!$B$9,"",IF(B58="","",IF(G58=0,Datenblatt!$B$7,"")))</f>
        <v>6.67</v>
      </c>
      <c r="L58" s="19" t="str">
        <f t="shared" si="27"/>
        <v/>
      </c>
      <c r="M58" s="124" t="str">
        <f t="shared" si="28"/>
        <v/>
      </c>
      <c r="N58" s="124" t="str">
        <f>IF(AND(L58=Datenblatt!$B$7,NOT(L57=Datenblatt!$B$7),NOT(L59=Datenblatt!$B$7)),"y",IF(AND(L58=Datenblatt!$B$7,L59=Datenblatt!$B$7,NOT(L57=Datenblatt!$B$7)),"a",IF(AND(L58=Datenblatt!$B$7,L57=Datenblatt!$B$7,NOT(L59=Datenblatt!$B$7)),"b","")))</f>
        <v/>
      </c>
      <c r="O58" s="19" t="str">
        <f t="shared" si="29"/>
        <v/>
      </c>
      <c r="P58" s="124" t="str">
        <f>IF(AND(M58=Datenblatt!$B$7,NOT(M57=Datenblatt!$B$7),NOT(M59=Datenblatt!$B$7)),"y",IF(AND(M58=Datenblatt!$B$7,M59=Datenblatt!$B$7,NOT(M57=Datenblatt!$B$7)),"a",IF(AND(M58=Datenblatt!$B$7,M57=Datenblatt!$B$7,NOT(M59=Datenblatt!$B$7)),"b","")))</f>
        <v/>
      </c>
      <c r="Q58" s="19" t="str">
        <f t="shared" si="30"/>
        <v/>
      </c>
      <c r="R58" s="124" t="str">
        <f>IF(I58="","",IF(AND(OR(J58="Krankenstand",J58="Urlaub",J58=""), AND(G58=0,NOT(I58=""))),Datenblatt!$B$7,""))</f>
        <v/>
      </c>
      <c r="S58" s="19" t="str">
        <f>IF(OR(J58="Krankenstand",J58="Urlaub"),"",IF(J58="","",VLOOKUP(D58,Dienste!C:W,21,)))</f>
        <v/>
      </c>
      <c r="T58" s="18" t="str">
        <f>IF(OR(J58="Krankenstand",J58="Urlaub"),"",IF(J58="","",VLOOKUP(D58,Dienste!C:W,5,)))</f>
        <v/>
      </c>
      <c r="U58" s="18" t="str">
        <f>IF(OR(J58="Krankenstand",J58="Urlaub"),"",IF(J58="","",VLOOKUP(D58,Dienste!C:W,6,)))</f>
        <v/>
      </c>
      <c r="V58" s="18" t="str">
        <f>IF(OR(J58="Krankenstand",J58="Urlaub"),"",IF(J58="","",VLOOKUP(D58,Dienste!C:W,7,)))</f>
        <v/>
      </c>
      <c r="W58" s="18" t="str">
        <f>IF(OR(J58="Krankenstand",J58="Urlaub"),"",IF(J58="","",VLOOKUP(D58,Dienste!C:W,11,)))</f>
        <v/>
      </c>
      <c r="X58" s="18" t="str">
        <f>IF(OR(J58="Krankenstand",J58="Urlaub"),"",IF(J58="","",VLOOKUP(D58,Dienste!C:W,12,)))</f>
        <v/>
      </c>
      <c r="Y58" s="19" t="str">
        <f>IF(OR(J58="Krankenstand",J58="Urlaub"),"",IF(J58="","",VLOOKUP(D58,Dienste!C:W,14,)))</f>
        <v/>
      </c>
      <c r="Z58" s="20" t="str">
        <f>IF(OR(J58="Krankenstand",J58="Urlaub"),"",IF(J58="","",VLOOKUP(D58,Dienste!C:W,15,)))</f>
        <v/>
      </c>
      <c r="AA58" s="124" t="str">
        <f t="shared" si="21"/>
        <v/>
      </c>
      <c r="AB58" s="19" t="str">
        <f t="shared" si="22"/>
        <v/>
      </c>
      <c r="AC58" s="126" t="str">
        <f>_xlfn.CONCAT(_xlfn.CONCAT(IF(I58="","",_xlfn.CONCAT("FT: ",I58,IF(J58="","","; "))),IF(B58&lt;Datenblatt!$B$9,"",IF(B58="","",IF(NOT(J58=""),SUBSTITUTE(SUBSTITUTE(SUBSTITUTE(J58," mR","")," oR","")," O",""),"")))),IF(AF58="","",_xlfn.CONCAT(CHAR(10),"; ",AF58)))</f>
        <v/>
      </c>
      <c r="AD58" s="124" t="str">
        <f t="shared" si="31"/>
        <v/>
      </c>
      <c r="AE58" s="19">
        <f t="shared" si="23"/>
        <v>0</v>
      </c>
      <c r="AF58" s="156"/>
    </row>
    <row r="59" spans="2:32" s="9" customFormat="1" ht="13">
      <c r="B59" s="6">
        <f t="shared" si="24"/>
        <v>44609</v>
      </c>
      <c r="C59" s="45">
        <f>SMALL(Daten!W:W,COUNTIF(Daten!W:W,"&lt;"&amp;Stundenaufzeichnung!B59+1))</f>
        <v>44578</v>
      </c>
      <c r="D59" s="45" t="str">
        <f t="shared" si="19"/>
        <v/>
      </c>
      <c r="E59" s="8">
        <f t="shared" si="20"/>
        <v>6</v>
      </c>
      <c r="F59" s="8">
        <f t="shared" si="25"/>
        <v>4</v>
      </c>
      <c r="G59" s="8">
        <f>IF(B59="","",VLOOKUP(E59,Datenblatt!$L$2:$N$8,3,FALSE))</f>
        <v>0</v>
      </c>
      <c r="H59" s="8" t="str">
        <f t="shared" si="26"/>
        <v/>
      </c>
      <c r="I59" s="11" t="str">
        <f>IFERROR(VLOOKUP(B59,Datenblatt!$E:$F,2,FALSE),"")</f>
        <v/>
      </c>
      <c r="J59" s="113"/>
      <c r="K59" s="19">
        <f>IF(B59&lt;Datenblatt!$B$9,"",IF(B59="","",IF(G59=0,Datenblatt!$B$7,"")))</f>
        <v>6.67</v>
      </c>
      <c r="L59" s="19" t="str">
        <f t="shared" si="27"/>
        <v/>
      </c>
      <c r="M59" s="124" t="str">
        <f t="shared" si="28"/>
        <v/>
      </c>
      <c r="N59" s="124" t="str">
        <f>IF(AND(L59=Datenblatt!$B$7,NOT(L58=Datenblatt!$B$7),NOT(L60=Datenblatt!$B$7)),"y",IF(AND(L59=Datenblatt!$B$7,L60=Datenblatt!$B$7,NOT(L58=Datenblatt!$B$7)),"a",IF(AND(L59=Datenblatt!$B$7,L58=Datenblatt!$B$7,NOT(L60=Datenblatt!$B$7)),"b","")))</f>
        <v/>
      </c>
      <c r="O59" s="19" t="str">
        <f t="shared" si="29"/>
        <v/>
      </c>
      <c r="P59" s="124" t="str">
        <f>IF(AND(M59=Datenblatt!$B$7,NOT(M58=Datenblatt!$B$7),NOT(M60=Datenblatt!$B$7)),"y",IF(AND(M59=Datenblatt!$B$7,M60=Datenblatt!$B$7,NOT(M58=Datenblatt!$B$7)),"a",IF(AND(M59=Datenblatt!$B$7,M58=Datenblatt!$B$7,NOT(M60=Datenblatt!$B$7)),"b","")))</f>
        <v/>
      </c>
      <c r="Q59" s="19" t="str">
        <f t="shared" si="30"/>
        <v/>
      </c>
      <c r="R59" s="124" t="str">
        <f>IF(I59="","",IF(AND(OR(J59="Krankenstand",J59="Urlaub",J59=""), AND(G59=0,NOT(I59=""))),Datenblatt!$B$7,""))</f>
        <v/>
      </c>
      <c r="S59" s="19" t="str">
        <f>IF(OR(J59="Krankenstand",J59="Urlaub"),"",IF(J59="","",VLOOKUP(D59,Dienste!C:W,21,)))</f>
        <v/>
      </c>
      <c r="T59" s="18" t="str">
        <f>IF(OR(J59="Krankenstand",J59="Urlaub"),"",IF(J59="","",VLOOKUP(D59,Dienste!C:W,5,)))</f>
        <v/>
      </c>
      <c r="U59" s="18" t="str">
        <f>IF(OR(J59="Krankenstand",J59="Urlaub"),"",IF(J59="","",VLOOKUP(D59,Dienste!C:W,6,)))</f>
        <v/>
      </c>
      <c r="V59" s="18" t="str">
        <f>IF(OR(J59="Krankenstand",J59="Urlaub"),"",IF(J59="","",VLOOKUP(D59,Dienste!C:W,7,)))</f>
        <v/>
      </c>
      <c r="W59" s="18" t="str">
        <f>IF(OR(J59="Krankenstand",J59="Urlaub"),"",IF(J59="","",VLOOKUP(D59,Dienste!C:W,11,)))</f>
        <v/>
      </c>
      <c r="X59" s="18" t="str">
        <f>IF(OR(J59="Krankenstand",J59="Urlaub"),"",IF(J59="","",VLOOKUP(D59,Dienste!C:W,12,)))</f>
        <v/>
      </c>
      <c r="Y59" s="19" t="str">
        <f>IF(OR(J59="Krankenstand",J59="Urlaub"),"",IF(J59="","",VLOOKUP(D59,Dienste!C:W,14,)))</f>
        <v/>
      </c>
      <c r="Z59" s="20" t="str">
        <f>IF(OR(J59="Krankenstand",J59="Urlaub"),"",IF(J59="","",VLOOKUP(D59,Dienste!C:W,15,)))</f>
        <v/>
      </c>
      <c r="AA59" s="124" t="str">
        <f t="shared" si="21"/>
        <v/>
      </c>
      <c r="AB59" s="19" t="str">
        <f t="shared" si="22"/>
        <v/>
      </c>
      <c r="AC59" s="126" t="str">
        <f>_xlfn.CONCAT(_xlfn.CONCAT(IF(I59="","",_xlfn.CONCAT("FT: ",I59,IF(J59="","","; "))),IF(B59&lt;Datenblatt!$B$9,"",IF(B59="","",IF(NOT(J59=""),SUBSTITUTE(SUBSTITUTE(SUBSTITUTE(J59," mR","")," oR","")," O",""),"")))),IF(AF59="","",_xlfn.CONCAT(CHAR(10),"; ",AF59)))</f>
        <v/>
      </c>
      <c r="AD59" s="124" t="str">
        <f t="shared" si="31"/>
        <v/>
      </c>
      <c r="AE59" s="19">
        <f t="shared" si="23"/>
        <v>0</v>
      </c>
      <c r="AF59" s="156"/>
    </row>
    <row r="60" spans="2:32" s="9" customFormat="1" ht="13">
      <c r="B60" s="6">
        <f t="shared" si="24"/>
        <v>44610</v>
      </c>
      <c r="C60" s="45">
        <f>SMALL(Daten!W:W,COUNTIF(Daten!W:W,"&lt;"&amp;Stundenaufzeichnung!B60+1))</f>
        <v>44578</v>
      </c>
      <c r="D60" s="45" t="str">
        <f t="shared" si="19"/>
        <v/>
      </c>
      <c r="E60" s="8">
        <f t="shared" si="20"/>
        <v>7</v>
      </c>
      <c r="F60" s="8">
        <f t="shared" si="25"/>
        <v>5</v>
      </c>
      <c r="G60" s="8">
        <f>IF(B60="","",VLOOKUP(E60,Datenblatt!$L$2:$N$8,3,FALSE))</f>
        <v>0</v>
      </c>
      <c r="H60" s="8" t="str">
        <f t="shared" si="26"/>
        <v/>
      </c>
      <c r="I60" s="11" t="str">
        <f>IFERROR(VLOOKUP(B60,Datenblatt!$E:$F,2,FALSE),"")</f>
        <v/>
      </c>
      <c r="J60" s="113"/>
      <c r="K60" s="19">
        <f>IF(B60&lt;Datenblatt!$B$9,"",IF(B60="","",IF(G60=0,Datenblatt!$B$7,"")))</f>
        <v>6.67</v>
      </c>
      <c r="L60" s="19" t="str">
        <f t="shared" si="27"/>
        <v/>
      </c>
      <c r="M60" s="124" t="str">
        <f t="shared" si="28"/>
        <v/>
      </c>
      <c r="N60" s="124" t="str">
        <f>IF(AND(L60=Datenblatt!$B$7,NOT(L59=Datenblatt!$B$7),NOT(L61=Datenblatt!$B$7)),"y",IF(AND(L60=Datenblatt!$B$7,L61=Datenblatt!$B$7,NOT(L59=Datenblatt!$B$7)),"a",IF(AND(L60=Datenblatt!$B$7,L59=Datenblatt!$B$7,NOT(L61=Datenblatt!$B$7)),"b","")))</f>
        <v/>
      </c>
      <c r="O60" s="19" t="str">
        <f t="shared" si="29"/>
        <v/>
      </c>
      <c r="P60" s="124" t="str">
        <f>IF(AND(M60=Datenblatt!$B$7,NOT(M59=Datenblatt!$B$7),NOT(M61=Datenblatt!$B$7)),"y",IF(AND(M60=Datenblatt!$B$7,M61=Datenblatt!$B$7,NOT(M59=Datenblatt!$B$7)),"a",IF(AND(M60=Datenblatt!$B$7,M59=Datenblatt!$B$7,NOT(M61=Datenblatt!$B$7)),"b","")))</f>
        <v/>
      </c>
      <c r="Q60" s="19" t="str">
        <f t="shared" si="30"/>
        <v/>
      </c>
      <c r="R60" s="124" t="str">
        <f>IF(I60="","",IF(AND(OR(J60="Krankenstand",J60="Urlaub",J60=""), AND(G60=0,NOT(I60=""))),Datenblatt!$B$7,""))</f>
        <v/>
      </c>
      <c r="S60" s="19" t="str">
        <f>IF(OR(J60="Krankenstand",J60="Urlaub"),"",IF(J60="","",VLOOKUP(D60,Dienste!C:W,21,)))</f>
        <v/>
      </c>
      <c r="T60" s="18" t="str">
        <f>IF(OR(J60="Krankenstand",J60="Urlaub"),"",IF(J60="","",VLOOKUP(D60,Dienste!C:W,5,)))</f>
        <v/>
      </c>
      <c r="U60" s="18" t="str">
        <f>IF(OR(J60="Krankenstand",J60="Urlaub"),"",IF(J60="","",VLOOKUP(D60,Dienste!C:W,6,)))</f>
        <v/>
      </c>
      <c r="V60" s="18" t="str">
        <f>IF(OR(J60="Krankenstand",J60="Urlaub"),"",IF(J60="","",VLOOKUP(D60,Dienste!C:W,7,)))</f>
        <v/>
      </c>
      <c r="W60" s="18" t="str">
        <f>IF(OR(J60="Krankenstand",J60="Urlaub"),"",IF(J60="","",VLOOKUP(D60,Dienste!C:W,11,)))</f>
        <v/>
      </c>
      <c r="X60" s="18" t="str">
        <f>IF(OR(J60="Krankenstand",J60="Urlaub"),"",IF(J60="","",VLOOKUP(D60,Dienste!C:W,12,)))</f>
        <v/>
      </c>
      <c r="Y60" s="19" t="str">
        <f>IF(OR(J60="Krankenstand",J60="Urlaub"),"",IF(J60="","",VLOOKUP(D60,Dienste!C:W,14,)))</f>
        <v/>
      </c>
      <c r="Z60" s="20" t="str">
        <f>IF(OR(J60="Krankenstand",J60="Urlaub"),"",IF(J60="","",VLOOKUP(D60,Dienste!C:W,15,)))</f>
        <v/>
      </c>
      <c r="AA60" s="124" t="str">
        <f t="shared" si="21"/>
        <v/>
      </c>
      <c r="AB60" s="19" t="str">
        <f t="shared" si="22"/>
        <v/>
      </c>
      <c r="AC60" s="126" t="str">
        <f>_xlfn.CONCAT(_xlfn.CONCAT(IF(I60="","",_xlfn.CONCAT("FT: ",I60,IF(J60="","","; "))),IF(B60&lt;Datenblatt!$B$9,"",IF(B60="","",IF(NOT(J60=""),SUBSTITUTE(SUBSTITUTE(SUBSTITUTE(J60," mR","")," oR","")," O",""),"")))),IF(AF60="","",_xlfn.CONCAT(CHAR(10),"; ",AF60)))</f>
        <v/>
      </c>
      <c r="AD60" s="124" t="str">
        <f t="shared" si="31"/>
        <v/>
      </c>
      <c r="AE60" s="19">
        <f t="shared" si="23"/>
        <v>0</v>
      </c>
      <c r="AF60" s="156"/>
    </row>
    <row r="61" spans="2:32" s="9" customFormat="1" ht="13">
      <c r="B61" s="6">
        <f t="shared" si="24"/>
        <v>44611</v>
      </c>
      <c r="C61" s="45">
        <f>SMALL(Daten!W:W,COUNTIF(Daten!W:W,"&lt;"&amp;Stundenaufzeichnung!B61+1))</f>
        <v>44578</v>
      </c>
      <c r="D61" s="45" t="str">
        <f t="shared" si="19"/>
        <v/>
      </c>
      <c r="E61" s="8">
        <f t="shared" si="20"/>
        <v>1</v>
      </c>
      <c r="F61" s="8">
        <f t="shared" si="25"/>
        <v>6</v>
      </c>
      <c r="G61" s="8">
        <f>IF(B61="","",VLOOKUP(E61,Datenblatt!$L$2:$N$8,3,FALSE))</f>
        <v>0</v>
      </c>
      <c r="H61" s="8" t="str">
        <f t="shared" si="26"/>
        <v/>
      </c>
      <c r="I61" s="11" t="str">
        <f>IFERROR(VLOOKUP(B61,Datenblatt!$E:$F,2,FALSE),"")</f>
        <v/>
      </c>
      <c r="J61" s="113"/>
      <c r="K61" s="19">
        <f>IF(B61&lt;Datenblatt!$B$9,"",IF(B61="","",IF(G61=0,Datenblatt!$B$7,"")))</f>
        <v>6.67</v>
      </c>
      <c r="L61" s="19" t="str">
        <f t="shared" si="27"/>
        <v/>
      </c>
      <c r="M61" s="124" t="str">
        <f t="shared" si="28"/>
        <v/>
      </c>
      <c r="N61" s="124" t="str">
        <f>IF(AND(L61=Datenblatt!$B$7,NOT(L60=Datenblatt!$B$7),NOT(L62=Datenblatt!$B$7)),"y",IF(AND(L61=Datenblatt!$B$7,L62=Datenblatt!$B$7,NOT(L60=Datenblatt!$B$7)),"a",IF(AND(L61=Datenblatt!$B$7,L60=Datenblatt!$B$7,NOT(L62=Datenblatt!$B$7)),"b","")))</f>
        <v/>
      </c>
      <c r="O61" s="19" t="str">
        <f t="shared" si="29"/>
        <v/>
      </c>
      <c r="P61" s="124" t="str">
        <f>IF(AND(M61=Datenblatt!$B$7,NOT(M60=Datenblatt!$B$7),NOT(M62=Datenblatt!$B$7)),"y",IF(AND(M61=Datenblatt!$B$7,M62=Datenblatt!$B$7,NOT(M60=Datenblatt!$B$7)),"a",IF(AND(M61=Datenblatt!$B$7,M60=Datenblatt!$B$7,NOT(M62=Datenblatt!$B$7)),"b","")))</f>
        <v/>
      </c>
      <c r="Q61" s="19" t="str">
        <f t="shared" si="30"/>
        <v/>
      </c>
      <c r="R61" s="124" t="str">
        <f>IF(I61="","",IF(AND(OR(J61="Krankenstand",J61="Urlaub",J61=""), AND(G61=0,NOT(I61=""))),Datenblatt!$B$7,""))</f>
        <v/>
      </c>
      <c r="S61" s="19" t="str">
        <f>IF(OR(J61="Krankenstand",J61="Urlaub"),"",IF(J61="","",VLOOKUP(D61,Dienste!C:W,21,)))</f>
        <v/>
      </c>
      <c r="T61" s="18" t="str">
        <f>IF(OR(J61="Krankenstand",J61="Urlaub"),"",IF(J61="","",VLOOKUP(D61,Dienste!C:W,5,)))</f>
        <v/>
      </c>
      <c r="U61" s="18" t="str">
        <f>IF(OR(J61="Krankenstand",J61="Urlaub"),"",IF(J61="","",VLOOKUP(D61,Dienste!C:W,6,)))</f>
        <v/>
      </c>
      <c r="V61" s="18" t="str">
        <f>IF(OR(J61="Krankenstand",J61="Urlaub"),"",IF(J61="","",VLOOKUP(D61,Dienste!C:W,7,)))</f>
        <v/>
      </c>
      <c r="W61" s="18" t="str">
        <f>IF(OR(J61="Krankenstand",J61="Urlaub"),"",IF(J61="","",VLOOKUP(D61,Dienste!C:W,11,)))</f>
        <v/>
      </c>
      <c r="X61" s="18" t="str">
        <f>IF(OR(J61="Krankenstand",J61="Urlaub"),"",IF(J61="","",VLOOKUP(D61,Dienste!C:W,12,)))</f>
        <v/>
      </c>
      <c r="Y61" s="19" t="str">
        <f>IF(OR(J61="Krankenstand",J61="Urlaub"),"",IF(J61="","",VLOOKUP(D61,Dienste!C:W,14,)))</f>
        <v/>
      </c>
      <c r="Z61" s="20" t="str">
        <f>IF(OR(J61="Krankenstand",J61="Urlaub"),"",IF(J61="","",VLOOKUP(D61,Dienste!C:W,15,)))</f>
        <v/>
      </c>
      <c r="AA61" s="124" t="str">
        <f t="shared" si="21"/>
        <v/>
      </c>
      <c r="AB61" s="19" t="str">
        <f t="shared" si="22"/>
        <v/>
      </c>
      <c r="AC61" s="126" t="str">
        <f>_xlfn.CONCAT(_xlfn.CONCAT(IF(I61="","",_xlfn.CONCAT("FT: ",I61,IF(J61="","","; "))),IF(B61&lt;Datenblatt!$B$9,"",IF(B61="","",IF(NOT(J61=""),SUBSTITUTE(SUBSTITUTE(SUBSTITUTE(J61," mR","")," oR","")," O",""),"")))),IF(AF61="","",_xlfn.CONCAT(CHAR(10),"; ",AF61)))</f>
        <v/>
      </c>
      <c r="AD61" s="124" t="str">
        <f t="shared" si="31"/>
        <v/>
      </c>
      <c r="AE61" s="19">
        <f t="shared" si="23"/>
        <v>0</v>
      </c>
      <c r="AF61" s="156"/>
    </row>
    <row r="62" spans="2:32" s="9" customFormat="1" ht="13">
      <c r="B62" s="6">
        <f t="shared" si="24"/>
        <v>44612</v>
      </c>
      <c r="C62" s="45">
        <f>SMALL(Daten!W:W,COUNTIF(Daten!W:W,"&lt;"&amp;Stundenaufzeichnung!B62+1))</f>
        <v>44578</v>
      </c>
      <c r="D62" s="45" t="str">
        <f t="shared" si="19"/>
        <v/>
      </c>
      <c r="E62" s="8">
        <f t="shared" si="20"/>
        <v>2</v>
      </c>
      <c r="F62" s="8">
        <f t="shared" si="25"/>
        <v>7</v>
      </c>
      <c r="G62" s="8">
        <f>IF(B62="","",VLOOKUP(E62,Datenblatt!$L$2:$N$8,3,FALSE))</f>
        <v>1</v>
      </c>
      <c r="H62" s="8" t="str">
        <f t="shared" si="26"/>
        <v>x</v>
      </c>
      <c r="I62" s="11" t="str">
        <f>IFERROR(VLOOKUP(B62,Datenblatt!$E:$F,2,FALSE),"")</f>
        <v/>
      </c>
      <c r="J62" s="113"/>
      <c r="K62" s="19" t="str">
        <f>IF(B62&lt;Datenblatt!$B$9,"",IF(B62="","",IF(G62=0,Datenblatt!$B$7,"")))</f>
        <v/>
      </c>
      <c r="L62" s="19" t="str">
        <f t="shared" si="27"/>
        <v/>
      </c>
      <c r="M62" s="124" t="str">
        <f t="shared" si="28"/>
        <v/>
      </c>
      <c r="N62" s="124" t="str">
        <f>IF(AND(L62=Datenblatt!$B$7,NOT(L61=Datenblatt!$B$7),NOT(L63=Datenblatt!$B$7)),"y",IF(AND(L62=Datenblatt!$B$7,L63=Datenblatt!$B$7,NOT(L61=Datenblatt!$B$7)),"a",IF(AND(L62=Datenblatt!$B$7,L61=Datenblatt!$B$7,NOT(L63=Datenblatt!$B$7)),"b","")))</f>
        <v/>
      </c>
      <c r="O62" s="19" t="str">
        <f t="shared" si="29"/>
        <v/>
      </c>
      <c r="P62" s="124" t="str">
        <f>IF(AND(M62=Datenblatt!$B$7,NOT(M61=Datenblatt!$B$7),NOT(M63=Datenblatt!$B$7)),"y",IF(AND(M62=Datenblatt!$B$7,M63=Datenblatt!$B$7,NOT(M61=Datenblatt!$B$7)),"a",IF(AND(M62=Datenblatt!$B$7,M61=Datenblatt!$B$7,NOT(M63=Datenblatt!$B$7)),"b","")))</f>
        <v/>
      </c>
      <c r="Q62" s="19" t="str">
        <f t="shared" si="30"/>
        <v/>
      </c>
      <c r="R62" s="124" t="str">
        <f>IF(I62="","",IF(AND(OR(J62="Krankenstand",J62="Urlaub",J62=""), AND(G62=0,NOT(I62=""))),Datenblatt!$B$7,""))</f>
        <v/>
      </c>
      <c r="S62" s="19" t="str">
        <f>IF(OR(J62="Krankenstand",J62="Urlaub"),"",IF(J62="","",VLOOKUP(D62,Dienste!C:W,21,)))</f>
        <v/>
      </c>
      <c r="T62" s="18" t="str">
        <f>IF(OR(J62="Krankenstand",J62="Urlaub"),"",IF(J62="","",VLOOKUP(D62,Dienste!C:W,5,)))</f>
        <v/>
      </c>
      <c r="U62" s="18" t="str">
        <f>IF(OR(J62="Krankenstand",J62="Urlaub"),"",IF(J62="","",VLOOKUP(D62,Dienste!C:W,6,)))</f>
        <v/>
      </c>
      <c r="V62" s="18" t="str">
        <f>IF(OR(J62="Krankenstand",J62="Urlaub"),"",IF(J62="","",VLOOKUP(D62,Dienste!C:W,7,)))</f>
        <v/>
      </c>
      <c r="W62" s="18" t="str">
        <f>IF(OR(J62="Krankenstand",J62="Urlaub"),"",IF(J62="","",VLOOKUP(D62,Dienste!C:W,11,)))</f>
        <v/>
      </c>
      <c r="X62" s="18" t="str">
        <f>IF(OR(J62="Krankenstand",J62="Urlaub"),"",IF(J62="","",VLOOKUP(D62,Dienste!C:W,12,)))</f>
        <v/>
      </c>
      <c r="Y62" s="19" t="str">
        <f>IF(OR(J62="Krankenstand",J62="Urlaub"),"",IF(J62="","",VLOOKUP(D62,Dienste!C:W,14,)))</f>
        <v/>
      </c>
      <c r="Z62" s="20" t="str">
        <f>IF(OR(J62="Krankenstand",J62="Urlaub"),"",IF(J62="","",VLOOKUP(D62,Dienste!C:W,15,)))</f>
        <v/>
      </c>
      <c r="AA62" s="124" t="str">
        <f t="shared" si="21"/>
        <v/>
      </c>
      <c r="AB62" s="19" t="str">
        <f t="shared" si="22"/>
        <v/>
      </c>
      <c r="AC62" s="126" t="str">
        <f>_xlfn.CONCAT(_xlfn.CONCAT(IF(I62="","",_xlfn.CONCAT("FT: ",I62,IF(J62="","","; "))),IF(B62&lt;Datenblatt!$B$9,"",IF(B62="","",IF(NOT(J62=""),SUBSTITUTE(SUBSTITUTE(SUBSTITUTE(J62," mR","")," oR","")," O",""),"")))),IF(AF62="","",_xlfn.CONCAT(CHAR(10),"; ",AF62)))</f>
        <v/>
      </c>
      <c r="AD62" s="124" t="str">
        <f t="shared" si="31"/>
        <v/>
      </c>
      <c r="AE62" s="19">
        <f t="shared" si="23"/>
        <v>0</v>
      </c>
      <c r="AF62" s="156"/>
    </row>
    <row r="63" spans="2:32" s="9" customFormat="1" ht="13">
      <c r="B63" s="6">
        <f t="shared" si="24"/>
        <v>44613</v>
      </c>
      <c r="C63" s="45">
        <f>SMALL(Daten!W:W,COUNTIF(Daten!W:W,"&lt;"&amp;Stundenaufzeichnung!B63+1))</f>
        <v>44578</v>
      </c>
      <c r="D63" s="45" t="str">
        <f t="shared" si="19"/>
        <v/>
      </c>
      <c r="E63" s="8">
        <f t="shared" si="20"/>
        <v>3</v>
      </c>
      <c r="F63" s="8">
        <f t="shared" si="25"/>
        <v>1</v>
      </c>
      <c r="G63" s="8">
        <f>IF(B63="","",VLOOKUP(E63,Datenblatt!$L$2:$N$8,3,FALSE))</f>
        <v>0</v>
      </c>
      <c r="H63" s="8" t="str">
        <f t="shared" si="26"/>
        <v/>
      </c>
      <c r="I63" s="11" t="str">
        <f>IFERROR(VLOOKUP(B63,Datenblatt!$E:$F,2,FALSE),"")</f>
        <v/>
      </c>
      <c r="J63" s="113"/>
      <c r="K63" s="19">
        <f>IF(B63&lt;Datenblatt!$B$9,"",IF(B63="","",IF(G63=0,Datenblatt!$B$7,"")))</f>
        <v>6.67</v>
      </c>
      <c r="L63" s="19" t="str">
        <f t="shared" si="27"/>
        <v/>
      </c>
      <c r="M63" s="124" t="str">
        <f t="shared" si="28"/>
        <v/>
      </c>
      <c r="N63" s="124" t="str">
        <f>IF(AND(L63=Datenblatt!$B$7,NOT(L62=Datenblatt!$B$7),NOT(L64=Datenblatt!$B$7)),"y",IF(AND(L63=Datenblatt!$B$7,L64=Datenblatt!$B$7,NOT(L62=Datenblatt!$B$7)),"a",IF(AND(L63=Datenblatt!$B$7,L62=Datenblatt!$B$7,NOT(L64=Datenblatt!$B$7)),"b","")))</f>
        <v/>
      </c>
      <c r="O63" s="19" t="str">
        <f t="shared" si="29"/>
        <v/>
      </c>
      <c r="P63" s="124" t="str">
        <f>IF(AND(M63=Datenblatt!$B$7,NOT(M62=Datenblatt!$B$7),NOT(M64=Datenblatt!$B$7)),"y",IF(AND(M63=Datenblatt!$B$7,M64=Datenblatt!$B$7,NOT(M62=Datenblatt!$B$7)),"a",IF(AND(M63=Datenblatt!$B$7,M62=Datenblatt!$B$7,NOT(M64=Datenblatt!$B$7)),"b","")))</f>
        <v/>
      </c>
      <c r="Q63" s="19" t="str">
        <f t="shared" si="30"/>
        <v/>
      </c>
      <c r="R63" s="124" t="str">
        <f>IF(I63="","",IF(AND(OR(J63="Krankenstand",J63="Urlaub",J63=""), AND(G63=0,NOT(I63=""))),Datenblatt!$B$7,""))</f>
        <v/>
      </c>
      <c r="S63" s="19" t="str">
        <f>IF(OR(J63="Krankenstand",J63="Urlaub"),"",IF(J63="","",VLOOKUP(D63,Dienste!C:W,21,)))</f>
        <v/>
      </c>
      <c r="T63" s="18" t="str">
        <f>IF(OR(J63="Krankenstand",J63="Urlaub"),"",IF(J63="","",VLOOKUP(D63,Dienste!C:W,5,)))</f>
        <v/>
      </c>
      <c r="U63" s="18" t="str">
        <f>IF(OR(J63="Krankenstand",J63="Urlaub"),"",IF(J63="","",VLOOKUP(D63,Dienste!C:W,6,)))</f>
        <v/>
      </c>
      <c r="V63" s="18" t="str">
        <f>IF(OR(J63="Krankenstand",J63="Urlaub"),"",IF(J63="","",VLOOKUP(D63,Dienste!C:W,7,)))</f>
        <v/>
      </c>
      <c r="W63" s="18" t="str">
        <f>IF(OR(J63="Krankenstand",J63="Urlaub"),"",IF(J63="","",VLOOKUP(D63,Dienste!C:W,11,)))</f>
        <v/>
      </c>
      <c r="X63" s="18" t="str">
        <f>IF(OR(J63="Krankenstand",J63="Urlaub"),"",IF(J63="","",VLOOKUP(D63,Dienste!C:W,12,)))</f>
        <v/>
      </c>
      <c r="Y63" s="19" t="str">
        <f>IF(OR(J63="Krankenstand",J63="Urlaub"),"",IF(J63="","",VLOOKUP(D63,Dienste!C:W,14,)))</f>
        <v/>
      </c>
      <c r="Z63" s="20" t="str">
        <f>IF(OR(J63="Krankenstand",J63="Urlaub"),"",IF(J63="","",VLOOKUP(D63,Dienste!C:W,15,)))</f>
        <v/>
      </c>
      <c r="AA63" s="124" t="str">
        <f t="shared" si="21"/>
        <v/>
      </c>
      <c r="AB63" s="19" t="str">
        <f t="shared" si="22"/>
        <v/>
      </c>
      <c r="AC63" s="126" t="str">
        <f>_xlfn.CONCAT(_xlfn.CONCAT(IF(I63="","",_xlfn.CONCAT("FT: ",I63,IF(J63="","","; "))),IF(B63&lt;Datenblatt!$B$9,"",IF(B63="","",IF(NOT(J63=""),SUBSTITUTE(SUBSTITUTE(SUBSTITUTE(J63," mR","")," oR","")," O",""),"")))),IF(AF63="","",_xlfn.CONCAT(CHAR(10),"; ",AF63)))</f>
        <v/>
      </c>
      <c r="AD63" s="124" t="str">
        <f t="shared" si="31"/>
        <v/>
      </c>
      <c r="AE63" s="19">
        <f t="shared" si="23"/>
        <v>0</v>
      </c>
      <c r="AF63" s="156"/>
    </row>
    <row r="64" spans="2:32" s="9" customFormat="1" ht="13">
      <c r="B64" s="6">
        <f t="shared" si="24"/>
        <v>44614</v>
      </c>
      <c r="C64" s="45">
        <f>SMALL(Daten!W:W,COUNTIF(Daten!W:W,"&lt;"&amp;Stundenaufzeichnung!B64+1))</f>
        <v>44578</v>
      </c>
      <c r="D64" s="45" t="str">
        <f t="shared" si="19"/>
        <v/>
      </c>
      <c r="E64" s="8">
        <f t="shared" si="20"/>
        <v>4</v>
      </c>
      <c r="F64" s="8">
        <f t="shared" si="25"/>
        <v>2</v>
      </c>
      <c r="G64" s="8">
        <f>IF(B64="","",VLOOKUP(E64,Datenblatt!$L$2:$N$8,3,FALSE))</f>
        <v>0</v>
      </c>
      <c r="H64" s="8" t="str">
        <f t="shared" si="26"/>
        <v/>
      </c>
      <c r="I64" s="11" t="str">
        <f>IFERROR(VLOOKUP(B64,Datenblatt!$E:$F,2,FALSE),"")</f>
        <v/>
      </c>
      <c r="J64" s="113"/>
      <c r="K64" s="19">
        <f>IF(B64&lt;Datenblatt!$B$9,"",IF(B64="","",IF(G64=0,Datenblatt!$B$7,"")))</f>
        <v>6.67</v>
      </c>
      <c r="L64" s="19" t="str">
        <f t="shared" si="27"/>
        <v/>
      </c>
      <c r="M64" s="124" t="str">
        <f t="shared" si="28"/>
        <v/>
      </c>
      <c r="N64" s="124" t="str">
        <f>IF(AND(L64=Datenblatt!$B$7,NOT(L63=Datenblatt!$B$7),NOT(L65=Datenblatt!$B$7)),"y",IF(AND(L64=Datenblatt!$B$7,L65=Datenblatt!$B$7,NOT(L63=Datenblatt!$B$7)),"a",IF(AND(L64=Datenblatt!$B$7,L63=Datenblatt!$B$7,NOT(L65=Datenblatt!$B$7)),"b","")))</f>
        <v/>
      </c>
      <c r="O64" s="19" t="str">
        <f t="shared" si="29"/>
        <v/>
      </c>
      <c r="P64" s="124" t="str">
        <f>IF(AND(M64=Datenblatt!$B$7,NOT(M63=Datenblatt!$B$7),NOT(M65=Datenblatt!$B$7)),"y",IF(AND(M64=Datenblatt!$B$7,M65=Datenblatt!$B$7,NOT(M63=Datenblatt!$B$7)),"a",IF(AND(M64=Datenblatt!$B$7,M63=Datenblatt!$B$7,NOT(M65=Datenblatt!$B$7)),"b","")))</f>
        <v/>
      </c>
      <c r="Q64" s="19" t="str">
        <f t="shared" si="30"/>
        <v/>
      </c>
      <c r="R64" s="124" t="str">
        <f>IF(I64="","",IF(AND(OR(J64="Krankenstand",J64="Urlaub",J64=""), AND(G64=0,NOT(I64=""))),Datenblatt!$B$7,""))</f>
        <v/>
      </c>
      <c r="S64" s="19" t="str">
        <f>IF(OR(J64="Krankenstand",J64="Urlaub"),"",IF(J64="","",VLOOKUP(D64,Dienste!C:W,21,)))</f>
        <v/>
      </c>
      <c r="T64" s="18" t="str">
        <f>IF(OR(J64="Krankenstand",J64="Urlaub"),"",IF(J64="","",VLOOKUP(D64,Dienste!C:W,5,)))</f>
        <v/>
      </c>
      <c r="U64" s="18" t="str">
        <f>IF(OR(J64="Krankenstand",J64="Urlaub"),"",IF(J64="","",VLOOKUP(D64,Dienste!C:W,6,)))</f>
        <v/>
      </c>
      <c r="V64" s="18" t="str">
        <f>IF(OR(J64="Krankenstand",J64="Urlaub"),"",IF(J64="","",VLOOKUP(D64,Dienste!C:W,7,)))</f>
        <v/>
      </c>
      <c r="W64" s="18" t="str">
        <f>IF(OR(J64="Krankenstand",J64="Urlaub"),"",IF(J64="","",VLOOKUP(D64,Dienste!C:W,11,)))</f>
        <v/>
      </c>
      <c r="X64" s="18" t="str">
        <f>IF(OR(J64="Krankenstand",J64="Urlaub"),"",IF(J64="","",VLOOKUP(D64,Dienste!C:W,12,)))</f>
        <v/>
      </c>
      <c r="Y64" s="19" t="str">
        <f>IF(OR(J64="Krankenstand",J64="Urlaub"),"",IF(J64="","",VLOOKUP(D64,Dienste!C:W,14,)))</f>
        <v/>
      </c>
      <c r="Z64" s="20" t="str">
        <f>IF(OR(J64="Krankenstand",J64="Urlaub"),"",IF(J64="","",VLOOKUP(D64,Dienste!C:W,15,)))</f>
        <v/>
      </c>
      <c r="AA64" s="124" t="str">
        <f t="shared" si="21"/>
        <v/>
      </c>
      <c r="AB64" s="19" t="str">
        <f t="shared" si="22"/>
        <v/>
      </c>
      <c r="AC64" s="126" t="str">
        <f>_xlfn.CONCAT(_xlfn.CONCAT(IF(I64="","",_xlfn.CONCAT("FT: ",I64,IF(J64="","","; "))),IF(B64&lt;Datenblatt!$B$9,"",IF(B64="","",IF(NOT(J64=""),SUBSTITUTE(SUBSTITUTE(SUBSTITUTE(J64," mR","")," oR","")," O",""),"")))),IF(AF64="","",_xlfn.CONCAT(CHAR(10),"; ",AF64)))</f>
        <v/>
      </c>
      <c r="AD64" s="124" t="str">
        <f t="shared" si="31"/>
        <v/>
      </c>
      <c r="AE64" s="19">
        <f t="shared" si="23"/>
        <v>0</v>
      </c>
      <c r="AF64" s="156"/>
    </row>
    <row r="65" spans="1:32" s="9" customFormat="1" ht="13">
      <c r="B65" s="6">
        <f t="shared" si="24"/>
        <v>44615</v>
      </c>
      <c r="C65" s="45">
        <f>SMALL(Daten!W:W,COUNTIF(Daten!W:W,"&lt;"&amp;Stundenaufzeichnung!B65+1))</f>
        <v>44578</v>
      </c>
      <c r="D65" s="45" t="str">
        <f t="shared" si="19"/>
        <v/>
      </c>
      <c r="E65" s="8">
        <f t="shared" si="20"/>
        <v>5</v>
      </c>
      <c r="F65" s="8">
        <f t="shared" si="25"/>
        <v>3</v>
      </c>
      <c r="G65" s="8">
        <f>IF(B65="","",VLOOKUP(E65,Datenblatt!$L$2:$N$8,3,FALSE))</f>
        <v>0</v>
      </c>
      <c r="H65" s="8" t="str">
        <f t="shared" si="26"/>
        <v/>
      </c>
      <c r="I65" s="11" t="str">
        <f>IFERROR(VLOOKUP(B65,Datenblatt!$E:$F,2,FALSE),"")</f>
        <v/>
      </c>
      <c r="J65" s="113"/>
      <c r="K65" s="19">
        <f>IF(B65&lt;Datenblatt!$B$9,"",IF(B65="","",IF(G65=0,Datenblatt!$B$7,"")))</f>
        <v>6.67</v>
      </c>
      <c r="L65" s="19" t="str">
        <f t="shared" si="27"/>
        <v/>
      </c>
      <c r="M65" s="124" t="str">
        <f t="shared" si="28"/>
        <v/>
      </c>
      <c r="N65" s="124" t="str">
        <f>IF(AND(L65=Datenblatt!$B$7,NOT(L64=Datenblatt!$B$7),NOT(L66=Datenblatt!$B$7)),"y",IF(AND(L65=Datenblatt!$B$7,L66=Datenblatt!$B$7,NOT(L64=Datenblatt!$B$7)),"a",IF(AND(L65=Datenblatt!$B$7,L64=Datenblatt!$B$7,NOT(L66=Datenblatt!$B$7)),"b","")))</f>
        <v/>
      </c>
      <c r="O65" s="19" t="str">
        <f t="shared" si="29"/>
        <v/>
      </c>
      <c r="P65" s="124" t="str">
        <f>IF(AND(M65=Datenblatt!$B$7,NOT(M64=Datenblatt!$B$7),NOT(M66=Datenblatt!$B$7)),"y",IF(AND(M65=Datenblatt!$B$7,M66=Datenblatt!$B$7,NOT(M64=Datenblatt!$B$7)),"a",IF(AND(M65=Datenblatt!$B$7,M64=Datenblatt!$B$7,NOT(M66=Datenblatt!$B$7)),"b","")))</f>
        <v/>
      </c>
      <c r="Q65" s="19" t="str">
        <f t="shared" si="30"/>
        <v/>
      </c>
      <c r="R65" s="124" t="str">
        <f>IF(I65="","",IF(AND(OR(J65="Krankenstand",J65="Urlaub",J65=""), AND(G65=0,NOT(I65=""))),Datenblatt!$B$7,""))</f>
        <v/>
      </c>
      <c r="S65" s="19" t="str">
        <f>IF(OR(J65="Krankenstand",J65="Urlaub"),"",IF(J65="","",VLOOKUP(D65,Dienste!C:W,21,)))</f>
        <v/>
      </c>
      <c r="T65" s="18" t="str">
        <f>IF(OR(J65="Krankenstand",J65="Urlaub"),"",IF(J65="","",VLOOKUP(D65,Dienste!C:W,5,)))</f>
        <v/>
      </c>
      <c r="U65" s="18" t="str">
        <f>IF(OR(J65="Krankenstand",J65="Urlaub"),"",IF(J65="","",VLOOKUP(D65,Dienste!C:W,6,)))</f>
        <v/>
      </c>
      <c r="V65" s="18" t="str">
        <f>IF(OR(J65="Krankenstand",J65="Urlaub"),"",IF(J65="","",VLOOKUP(D65,Dienste!C:W,7,)))</f>
        <v/>
      </c>
      <c r="W65" s="18" t="str">
        <f>IF(OR(J65="Krankenstand",J65="Urlaub"),"",IF(J65="","",VLOOKUP(D65,Dienste!C:W,11,)))</f>
        <v/>
      </c>
      <c r="X65" s="18" t="str">
        <f>IF(OR(J65="Krankenstand",J65="Urlaub"),"",IF(J65="","",VLOOKUP(D65,Dienste!C:W,12,)))</f>
        <v/>
      </c>
      <c r="Y65" s="19" t="str">
        <f>IF(OR(J65="Krankenstand",J65="Urlaub"),"",IF(J65="","",VLOOKUP(D65,Dienste!C:W,14,)))</f>
        <v/>
      </c>
      <c r="Z65" s="20" t="str">
        <f>IF(OR(J65="Krankenstand",J65="Urlaub"),"",IF(J65="","",VLOOKUP(D65,Dienste!C:W,15,)))</f>
        <v/>
      </c>
      <c r="AA65" s="124" t="str">
        <f t="shared" si="21"/>
        <v/>
      </c>
      <c r="AB65" s="19" t="str">
        <f t="shared" si="22"/>
        <v/>
      </c>
      <c r="AC65" s="126" t="str">
        <f>_xlfn.CONCAT(_xlfn.CONCAT(IF(I65="","",_xlfn.CONCAT("FT: ",I65,IF(J65="","","; "))),IF(B65&lt;Datenblatt!$B$9,"",IF(B65="","",IF(NOT(J65=""),SUBSTITUTE(SUBSTITUTE(SUBSTITUTE(J65," mR","")," oR","")," O",""),"")))),IF(AF65="","",_xlfn.CONCAT(CHAR(10),"; ",AF65)))</f>
        <v/>
      </c>
      <c r="AD65" s="124" t="str">
        <f t="shared" si="31"/>
        <v/>
      </c>
      <c r="AE65" s="19">
        <f t="shared" si="23"/>
        <v>0</v>
      </c>
      <c r="AF65" s="156"/>
    </row>
    <row r="66" spans="1:32" s="9" customFormat="1" ht="13">
      <c r="B66" s="6">
        <f t="shared" si="24"/>
        <v>44616</v>
      </c>
      <c r="C66" s="45">
        <f>SMALL(Daten!W:W,COUNTIF(Daten!W:W,"&lt;"&amp;Stundenaufzeichnung!B66+1))</f>
        <v>44578</v>
      </c>
      <c r="D66" s="45" t="str">
        <f t="shared" si="19"/>
        <v/>
      </c>
      <c r="E66" s="8">
        <f t="shared" si="20"/>
        <v>6</v>
      </c>
      <c r="F66" s="8">
        <f t="shared" si="25"/>
        <v>4</v>
      </c>
      <c r="G66" s="8">
        <f>IF(B66="","",VLOOKUP(E66,Datenblatt!$L$2:$N$8,3,FALSE))</f>
        <v>0</v>
      </c>
      <c r="H66" s="8" t="str">
        <f t="shared" si="26"/>
        <v/>
      </c>
      <c r="I66" s="11" t="str">
        <f>IFERROR(VLOOKUP(B66,Datenblatt!$E:$F,2,FALSE),"")</f>
        <v/>
      </c>
      <c r="J66" s="113"/>
      <c r="K66" s="19">
        <f>IF(B66&lt;Datenblatt!$B$9,"",IF(B66="","",IF(G66=0,Datenblatt!$B$7,"")))</f>
        <v>6.67</v>
      </c>
      <c r="L66" s="19" t="str">
        <f t="shared" si="27"/>
        <v/>
      </c>
      <c r="M66" s="124" t="str">
        <f t="shared" si="28"/>
        <v/>
      </c>
      <c r="N66" s="124" t="str">
        <f>IF(AND(L66=Datenblatt!$B$7,NOT(L65=Datenblatt!$B$7),NOT(L67=Datenblatt!$B$7)),"y",IF(AND(L66=Datenblatt!$B$7,L67=Datenblatt!$B$7,NOT(L65=Datenblatt!$B$7)),"a",IF(AND(L66=Datenblatt!$B$7,L65=Datenblatt!$B$7,NOT(L67=Datenblatt!$B$7)),"b","")))</f>
        <v/>
      </c>
      <c r="O66" s="19" t="str">
        <f t="shared" si="29"/>
        <v/>
      </c>
      <c r="P66" s="124" t="str">
        <f>IF(AND(M66=Datenblatt!$B$7,NOT(M65=Datenblatt!$B$7),NOT(M67=Datenblatt!$B$7)),"y",IF(AND(M66=Datenblatt!$B$7,M67=Datenblatt!$B$7,NOT(M65=Datenblatt!$B$7)),"a",IF(AND(M66=Datenblatt!$B$7,M65=Datenblatt!$B$7,NOT(M67=Datenblatt!$B$7)),"b","")))</f>
        <v/>
      </c>
      <c r="Q66" s="19" t="str">
        <f t="shared" si="30"/>
        <v/>
      </c>
      <c r="R66" s="124" t="str">
        <f>IF(I66="","",IF(AND(OR(J66="Krankenstand",J66="Urlaub",J66=""), AND(G66=0,NOT(I66=""))),Datenblatt!$B$7,""))</f>
        <v/>
      </c>
      <c r="S66" s="19" t="str">
        <f>IF(OR(J66="Krankenstand",J66="Urlaub"),"",IF(J66="","",VLOOKUP(D66,Dienste!C:W,21,)))</f>
        <v/>
      </c>
      <c r="T66" s="18" t="str">
        <f>IF(OR(J66="Krankenstand",J66="Urlaub"),"",IF(J66="","",VLOOKUP(D66,Dienste!C:W,5,)))</f>
        <v/>
      </c>
      <c r="U66" s="18" t="str">
        <f>IF(OR(J66="Krankenstand",J66="Urlaub"),"",IF(J66="","",VLOOKUP(D66,Dienste!C:W,6,)))</f>
        <v/>
      </c>
      <c r="V66" s="18" t="str">
        <f>IF(OR(J66="Krankenstand",J66="Urlaub"),"",IF(J66="","",VLOOKUP(D66,Dienste!C:W,7,)))</f>
        <v/>
      </c>
      <c r="W66" s="18" t="str">
        <f>IF(OR(J66="Krankenstand",J66="Urlaub"),"",IF(J66="","",VLOOKUP(D66,Dienste!C:W,11,)))</f>
        <v/>
      </c>
      <c r="X66" s="18" t="str">
        <f>IF(OR(J66="Krankenstand",J66="Urlaub"),"",IF(J66="","",VLOOKUP(D66,Dienste!C:W,12,)))</f>
        <v/>
      </c>
      <c r="Y66" s="19" t="str">
        <f>IF(OR(J66="Krankenstand",J66="Urlaub"),"",IF(J66="","",VLOOKUP(D66,Dienste!C:W,14,)))</f>
        <v/>
      </c>
      <c r="Z66" s="20" t="str">
        <f>IF(OR(J66="Krankenstand",J66="Urlaub"),"",IF(J66="","",VLOOKUP(D66,Dienste!C:W,15,)))</f>
        <v/>
      </c>
      <c r="AA66" s="124" t="str">
        <f t="shared" si="21"/>
        <v/>
      </c>
      <c r="AB66" s="19" t="str">
        <f t="shared" si="22"/>
        <v/>
      </c>
      <c r="AC66" s="126" t="str">
        <f>_xlfn.CONCAT(_xlfn.CONCAT(IF(I66="","",_xlfn.CONCAT("FT: ",I66,IF(J66="","","; "))),IF(B66&lt;Datenblatt!$B$9,"",IF(B66="","",IF(NOT(J66=""),SUBSTITUTE(SUBSTITUTE(SUBSTITUTE(J66," mR","")," oR","")," O",""),"")))),IF(AF66="","",_xlfn.CONCAT(CHAR(10),"; ",AF66)))</f>
        <v/>
      </c>
      <c r="AD66" s="124" t="str">
        <f t="shared" si="31"/>
        <v/>
      </c>
      <c r="AE66" s="19">
        <f t="shared" si="23"/>
        <v>0</v>
      </c>
      <c r="AF66" s="156"/>
    </row>
    <row r="67" spans="1:32" s="9" customFormat="1" ht="13">
      <c r="B67" s="6">
        <f t="shared" si="24"/>
        <v>44617</v>
      </c>
      <c r="C67" s="45">
        <f>SMALL(Daten!W:W,COUNTIF(Daten!W:W,"&lt;"&amp;Stundenaufzeichnung!B67+1))</f>
        <v>44578</v>
      </c>
      <c r="D67" s="45" t="str">
        <f t="shared" si="19"/>
        <v/>
      </c>
      <c r="E67" s="8">
        <f t="shared" si="20"/>
        <v>7</v>
      </c>
      <c r="F67" s="8">
        <f t="shared" si="25"/>
        <v>5</v>
      </c>
      <c r="G67" s="8">
        <f>IF(B67="","",VLOOKUP(E67,Datenblatt!$L$2:$N$8,3,FALSE))</f>
        <v>0</v>
      </c>
      <c r="H67" s="8" t="str">
        <f t="shared" si="26"/>
        <v/>
      </c>
      <c r="I67" s="11" t="str">
        <f>IFERROR(VLOOKUP(B67,Datenblatt!$E:$F,2,FALSE),"")</f>
        <v/>
      </c>
      <c r="J67" s="113"/>
      <c r="K67" s="19">
        <f>IF(B67&lt;Datenblatt!$B$9,"",IF(B67="","",IF(G67=0,Datenblatt!$B$7,"")))</f>
        <v>6.67</v>
      </c>
      <c r="L67" s="19" t="str">
        <f t="shared" si="27"/>
        <v/>
      </c>
      <c r="M67" s="124" t="str">
        <f t="shared" si="28"/>
        <v/>
      </c>
      <c r="N67" s="124" t="str">
        <f>IF(AND(L67=Datenblatt!$B$7,NOT(L66=Datenblatt!$B$7),NOT(L68=Datenblatt!$B$7)),"y",IF(AND(L67=Datenblatt!$B$7,L68=Datenblatt!$B$7,NOT(L66=Datenblatt!$B$7)),"a",IF(AND(L67=Datenblatt!$B$7,L66=Datenblatt!$B$7,NOT(L68=Datenblatt!$B$7)),"b","")))</f>
        <v/>
      </c>
      <c r="O67" s="19" t="str">
        <f t="shared" si="29"/>
        <v/>
      </c>
      <c r="P67" s="124" t="str">
        <f>IF(AND(M67=Datenblatt!$B$7,NOT(M66=Datenblatt!$B$7),NOT(M68=Datenblatt!$B$7)),"y",IF(AND(M67=Datenblatt!$B$7,M68=Datenblatt!$B$7,NOT(M66=Datenblatt!$B$7)),"a",IF(AND(M67=Datenblatt!$B$7,M66=Datenblatt!$B$7,NOT(M68=Datenblatt!$B$7)),"b","")))</f>
        <v/>
      </c>
      <c r="Q67" s="19" t="str">
        <f t="shared" si="30"/>
        <v/>
      </c>
      <c r="R67" s="124" t="str">
        <f>IF(I67="","",IF(AND(OR(J67="Krankenstand",J67="Urlaub",J67=""), AND(G67=0,NOT(I67=""))),Datenblatt!$B$7,""))</f>
        <v/>
      </c>
      <c r="S67" s="19" t="str">
        <f>IF(OR(J67="Krankenstand",J67="Urlaub"),"",IF(J67="","",VLOOKUP(D67,Dienste!C:W,21,)))</f>
        <v/>
      </c>
      <c r="T67" s="18" t="str">
        <f>IF(OR(J67="Krankenstand",J67="Urlaub"),"",IF(J67="","",VLOOKUP(D67,Dienste!C:W,5,)))</f>
        <v/>
      </c>
      <c r="U67" s="18" t="str">
        <f>IF(OR(J67="Krankenstand",J67="Urlaub"),"",IF(J67="","",VLOOKUP(D67,Dienste!C:W,6,)))</f>
        <v/>
      </c>
      <c r="V67" s="18" t="str">
        <f>IF(OR(J67="Krankenstand",J67="Urlaub"),"",IF(J67="","",VLOOKUP(D67,Dienste!C:W,7,)))</f>
        <v/>
      </c>
      <c r="W67" s="18" t="str">
        <f>IF(OR(J67="Krankenstand",J67="Urlaub"),"",IF(J67="","",VLOOKUP(D67,Dienste!C:W,11,)))</f>
        <v/>
      </c>
      <c r="X67" s="18" t="str">
        <f>IF(OR(J67="Krankenstand",J67="Urlaub"),"",IF(J67="","",VLOOKUP(D67,Dienste!C:W,12,)))</f>
        <v/>
      </c>
      <c r="Y67" s="19" t="str">
        <f>IF(OR(J67="Krankenstand",J67="Urlaub"),"",IF(J67="","",VLOOKUP(D67,Dienste!C:W,14,)))</f>
        <v/>
      </c>
      <c r="Z67" s="20" t="str">
        <f>IF(OR(J67="Krankenstand",J67="Urlaub"),"",IF(J67="","",VLOOKUP(D67,Dienste!C:W,15,)))</f>
        <v/>
      </c>
      <c r="AA67" s="124" t="str">
        <f t="shared" si="21"/>
        <v/>
      </c>
      <c r="AB67" s="19" t="str">
        <f t="shared" si="22"/>
        <v/>
      </c>
      <c r="AC67" s="126" t="str">
        <f>_xlfn.CONCAT(_xlfn.CONCAT(IF(I67="","",_xlfn.CONCAT("FT: ",I67,IF(J67="","","; "))),IF(B67&lt;Datenblatt!$B$9,"",IF(B67="","",IF(NOT(J67=""),SUBSTITUTE(SUBSTITUTE(SUBSTITUTE(J67," mR","")," oR","")," O",""),"")))),IF(AF67="","",_xlfn.CONCAT(CHAR(10),"; ",AF67)))</f>
        <v/>
      </c>
      <c r="AD67" s="124" t="str">
        <f t="shared" si="31"/>
        <v/>
      </c>
      <c r="AE67" s="19">
        <f t="shared" si="23"/>
        <v>0</v>
      </c>
      <c r="AF67" s="156"/>
    </row>
    <row r="68" spans="1:32" s="9" customFormat="1" ht="13">
      <c r="B68" s="6">
        <f t="shared" si="24"/>
        <v>44618</v>
      </c>
      <c r="C68" s="45">
        <f>SMALL(Daten!W:W,COUNTIF(Daten!W:W,"&lt;"&amp;Stundenaufzeichnung!B68+1))</f>
        <v>44578</v>
      </c>
      <c r="D68" s="45" t="str">
        <f t="shared" si="19"/>
        <v/>
      </c>
      <c r="E68" s="8">
        <f t="shared" si="20"/>
        <v>1</v>
      </c>
      <c r="F68" s="8">
        <f t="shared" si="25"/>
        <v>6</v>
      </c>
      <c r="G68" s="8">
        <f>IF(B68="","",VLOOKUP(E68,Datenblatt!$L$2:$N$8,3,FALSE))</f>
        <v>0</v>
      </c>
      <c r="H68" s="8" t="str">
        <f t="shared" si="26"/>
        <v/>
      </c>
      <c r="I68" s="11" t="str">
        <f>IFERROR(VLOOKUP(B68,Datenblatt!$E:$F,2,FALSE),"")</f>
        <v/>
      </c>
      <c r="J68" s="113"/>
      <c r="K68" s="19">
        <f>IF(B68&lt;Datenblatt!$B$9,"",IF(B68="","",IF(G68=0,Datenblatt!$B$7,"")))</f>
        <v>6.67</v>
      </c>
      <c r="L68" s="19" t="str">
        <f t="shared" si="27"/>
        <v/>
      </c>
      <c r="M68" s="124" t="str">
        <f t="shared" si="28"/>
        <v/>
      </c>
      <c r="N68" s="124" t="str">
        <f>IF(AND(L68=Datenblatt!$B$7,NOT(L67=Datenblatt!$B$7),NOT(L69=Datenblatt!$B$7)),"y",IF(AND(L68=Datenblatt!$B$7,L69=Datenblatt!$B$7,NOT(L67=Datenblatt!$B$7)),"a",IF(AND(L68=Datenblatt!$B$7,L67=Datenblatt!$B$7,NOT(L69=Datenblatt!$B$7)),"b","")))</f>
        <v/>
      </c>
      <c r="O68" s="19" t="str">
        <f t="shared" si="29"/>
        <v/>
      </c>
      <c r="P68" s="124" t="str">
        <f>IF(AND(M68=Datenblatt!$B$7,NOT(M67=Datenblatt!$B$7),NOT(M69=Datenblatt!$B$7)),"y",IF(AND(M68=Datenblatt!$B$7,M69=Datenblatt!$B$7,NOT(M67=Datenblatt!$B$7)),"a",IF(AND(M68=Datenblatt!$B$7,M67=Datenblatt!$B$7,NOT(M69=Datenblatt!$B$7)),"b","")))</f>
        <v/>
      </c>
      <c r="Q68" s="19" t="str">
        <f t="shared" si="30"/>
        <v/>
      </c>
      <c r="R68" s="124" t="str">
        <f>IF(I68="","",IF(AND(OR(J68="Krankenstand",J68="Urlaub",J68=""), AND(G68=0,NOT(I68=""))),Datenblatt!$B$7,""))</f>
        <v/>
      </c>
      <c r="S68" s="19" t="str">
        <f>IF(OR(J68="Krankenstand",J68="Urlaub"),"",IF(J68="","",VLOOKUP(D68,Dienste!C:W,21,)))</f>
        <v/>
      </c>
      <c r="T68" s="18" t="str">
        <f>IF(OR(J68="Krankenstand",J68="Urlaub"),"",IF(J68="","",VLOOKUP(D68,Dienste!C:W,5,)))</f>
        <v/>
      </c>
      <c r="U68" s="18" t="str">
        <f>IF(OR(J68="Krankenstand",J68="Urlaub"),"",IF(J68="","",VLOOKUP(D68,Dienste!C:W,6,)))</f>
        <v/>
      </c>
      <c r="V68" s="18" t="str">
        <f>IF(OR(J68="Krankenstand",J68="Urlaub"),"",IF(J68="","",VLOOKUP(D68,Dienste!C:W,7,)))</f>
        <v/>
      </c>
      <c r="W68" s="18" t="str">
        <f>IF(OR(J68="Krankenstand",J68="Urlaub"),"",IF(J68="","",VLOOKUP(D68,Dienste!C:W,11,)))</f>
        <v/>
      </c>
      <c r="X68" s="18" t="str">
        <f>IF(OR(J68="Krankenstand",J68="Urlaub"),"",IF(J68="","",VLOOKUP(D68,Dienste!C:W,12,)))</f>
        <v/>
      </c>
      <c r="Y68" s="19" t="str">
        <f>IF(OR(J68="Krankenstand",J68="Urlaub"),"",IF(J68="","",VLOOKUP(D68,Dienste!C:W,14,)))</f>
        <v/>
      </c>
      <c r="Z68" s="20" t="str">
        <f>IF(OR(J68="Krankenstand",J68="Urlaub"),"",IF(J68="","",VLOOKUP(D68,Dienste!C:W,15,)))</f>
        <v/>
      </c>
      <c r="AA68" s="124" t="str">
        <f t="shared" si="21"/>
        <v/>
      </c>
      <c r="AB68" s="19" t="str">
        <f t="shared" si="22"/>
        <v/>
      </c>
      <c r="AC68" s="126" t="str">
        <f>_xlfn.CONCAT(_xlfn.CONCAT(IF(I68="","",_xlfn.CONCAT("FT: ",I68,IF(J68="","","; "))),IF(B68&lt;Datenblatt!$B$9,"",IF(B68="","",IF(NOT(J68=""),SUBSTITUTE(SUBSTITUTE(SUBSTITUTE(J68," mR","")," oR","")," O",""),"")))),IF(AF68="","",_xlfn.CONCAT(CHAR(10),"; ",AF68)))</f>
        <v/>
      </c>
      <c r="AD68" s="124" t="str">
        <f t="shared" si="31"/>
        <v/>
      </c>
      <c r="AE68" s="19">
        <f t="shared" si="23"/>
        <v>0</v>
      </c>
      <c r="AF68" s="156"/>
    </row>
    <row r="69" spans="1:32" s="9" customFormat="1" ht="13">
      <c r="B69" s="6">
        <f t="shared" si="24"/>
        <v>44619</v>
      </c>
      <c r="C69" s="45">
        <f>SMALL(Daten!W:W,COUNTIF(Daten!W:W,"&lt;"&amp;Stundenaufzeichnung!B69+1))</f>
        <v>44578</v>
      </c>
      <c r="D69" s="45" t="str">
        <f t="shared" si="19"/>
        <v/>
      </c>
      <c r="E69" s="8">
        <f t="shared" si="20"/>
        <v>2</v>
      </c>
      <c r="F69" s="8">
        <f t="shared" si="25"/>
        <v>7</v>
      </c>
      <c r="G69" s="8">
        <f>IF(B69="","",VLOOKUP(E69,Datenblatt!$L$2:$N$8,3,FALSE))</f>
        <v>1</v>
      </c>
      <c r="H69" s="8" t="str">
        <f t="shared" si="26"/>
        <v>x</v>
      </c>
      <c r="I69" s="11" t="str">
        <f>IFERROR(VLOOKUP(B69,Datenblatt!$E:$F,2,FALSE),"")</f>
        <v/>
      </c>
      <c r="J69" s="113"/>
      <c r="K69" s="19" t="str">
        <f>IF(B69&lt;Datenblatt!$B$9,"",IF(B69="","",IF(G69=0,Datenblatt!$B$7,"")))</f>
        <v/>
      </c>
      <c r="L69" s="19" t="str">
        <f t="shared" si="27"/>
        <v/>
      </c>
      <c r="M69" s="124" t="str">
        <f t="shared" si="28"/>
        <v/>
      </c>
      <c r="N69" s="124" t="str">
        <f>IF(AND(L69=Datenblatt!$B$7,NOT(L68=Datenblatt!$B$7),NOT(L70=Datenblatt!$B$7)),"y",IF(AND(L69=Datenblatt!$B$7,L70=Datenblatt!$B$7,NOT(L68=Datenblatt!$B$7)),"a",IF(AND(L69=Datenblatt!$B$7,L68=Datenblatt!$B$7,NOT(L70=Datenblatt!$B$7)),"b","")))</f>
        <v/>
      </c>
      <c r="O69" s="19" t="str">
        <f t="shared" si="29"/>
        <v/>
      </c>
      <c r="P69" s="124" t="str">
        <f>IF(AND(M69=Datenblatt!$B$7,NOT(M68=Datenblatt!$B$7),NOT(M70=Datenblatt!$B$7)),"y",IF(AND(M69=Datenblatt!$B$7,M70=Datenblatt!$B$7,NOT(M68=Datenblatt!$B$7)),"a",IF(AND(M69=Datenblatt!$B$7,M68=Datenblatt!$B$7,NOT(M70=Datenblatt!$B$7)),"b","")))</f>
        <v/>
      </c>
      <c r="Q69" s="19" t="str">
        <f t="shared" si="30"/>
        <v/>
      </c>
      <c r="R69" s="124" t="str">
        <f>IF(I69="","",IF(AND(OR(J69="Krankenstand",J69="Urlaub",J69=""), AND(G69=0,NOT(I69=""))),Datenblatt!$B$7,""))</f>
        <v/>
      </c>
      <c r="S69" s="19" t="str">
        <f>IF(OR(J69="Krankenstand",J69="Urlaub"),"",IF(J69="","",VLOOKUP(D69,Dienste!C:W,21,)))</f>
        <v/>
      </c>
      <c r="T69" s="18" t="str">
        <f>IF(OR(J69="Krankenstand",J69="Urlaub"),"",IF(J69="","",VLOOKUP(D69,Dienste!C:W,5,)))</f>
        <v/>
      </c>
      <c r="U69" s="18" t="str">
        <f>IF(OR(J69="Krankenstand",J69="Urlaub"),"",IF(J69="","",VLOOKUP(D69,Dienste!C:W,6,)))</f>
        <v/>
      </c>
      <c r="V69" s="18" t="str">
        <f>IF(OR(J69="Krankenstand",J69="Urlaub"),"",IF(J69="","",VLOOKUP(D69,Dienste!C:W,7,)))</f>
        <v/>
      </c>
      <c r="W69" s="18" t="str">
        <f>IF(OR(J69="Krankenstand",J69="Urlaub"),"",IF(J69="","",VLOOKUP(D69,Dienste!C:W,11,)))</f>
        <v/>
      </c>
      <c r="X69" s="18" t="str">
        <f>IF(OR(J69="Krankenstand",J69="Urlaub"),"",IF(J69="","",VLOOKUP(D69,Dienste!C:W,12,)))</f>
        <v/>
      </c>
      <c r="Y69" s="19" t="str">
        <f>IF(OR(J69="Krankenstand",J69="Urlaub"),"",IF(J69="","",VLOOKUP(D69,Dienste!C:W,14,)))</f>
        <v/>
      </c>
      <c r="Z69" s="20" t="str">
        <f>IF(OR(J69="Krankenstand",J69="Urlaub"),"",IF(J69="","",VLOOKUP(D69,Dienste!C:W,15,)))</f>
        <v/>
      </c>
      <c r="AA69" s="124" t="str">
        <f t="shared" si="21"/>
        <v/>
      </c>
      <c r="AB69" s="19" t="str">
        <f t="shared" si="22"/>
        <v/>
      </c>
      <c r="AC69" s="126" t="str">
        <f>_xlfn.CONCAT(_xlfn.CONCAT(IF(I69="","",_xlfn.CONCAT("FT: ",I69,IF(J69="","","; "))),IF(B69&lt;Datenblatt!$B$9,"",IF(B69="","",IF(NOT(J69=""),SUBSTITUTE(SUBSTITUTE(SUBSTITUTE(J69," mR","")," oR","")," O",""),"")))),IF(AF69="","",_xlfn.CONCAT(CHAR(10),"; ",AF69)))</f>
        <v/>
      </c>
      <c r="AD69" s="124" t="str">
        <f t="shared" si="31"/>
        <v/>
      </c>
      <c r="AE69" s="19">
        <f t="shared" si="23"/>
        <v>0</v>
      </c>
      <c r="AF69" s="156"/>
    </row>
    <row r="70" spans="1:32" s="9" customFormat="1" ht="13">
      <c r="B70" s="6">
        <f t="shared" si="24"/>
        <v>44620</v>
      </c>
      <c r="C70" s="45">
        <f>SMALL(Daten!W:W,COUNTIF(Daten!W:W,"&lt;"&amp;Stundenaufzeichnung!B70+1))</f>
        <v>44578</v>
      </c>
      <c r="D70" s="45" t="str">
        <f t="shared" si="19"/>
        <v/>
      </c>
      <c r="E70" s="8">
        <f t="shared" si="20"/>
        <v>3</v>
      </c>
      <c r="F70" s="8">
        <f t="shared" si="25"/>
        <v>1</v>
      </c>
      <c r="G70" s="8">
        <f>IF(B70="","",VLOOKUP(E70,Datenblatt!$L$2:$N$8,3,FALSE))</f>
        <v>0</v>
      </c>
      <c r="H70" s="8" t="str">
        <f t="shared" si="26"/>
        <v/>
      </c>
      <c r="I70" s="11" t="str">
        <f>IFERROR(VLOOKUP(B70,Datenblatt!$E:$F,2,FALSE),"")</f>
        <v/>
      </c>
      <c r="J70" s="113"/>
      <c r="K70" s="19">
        <f>IF(B70&lt;Datenblatt!$B$9,"",IF(B70="","",IF(G70=0,Datenblatt!$B$7,"")))</f>
        <v>6.67</v>
      </c>
      <c r="L70" s="19" t="str">
        <f t="shared" si="27"/>
        <v/>
      </c>
      <c r="M70" s="124" t="str">
        <f t="shared" si="28"/>
        <v/>
      </c>
      <c r="N70" s="124" t="str">
        <f>IF(AND(L70=Datenblatt!$B$7,NOT(L69=Datenblatt!$B$7),NOT(L71=Datenblatt!$B$7)),"y",IF(AND(L70=Datenblatt!$B$7,L71=Datenblatt!$B$7,NOT(L69=Datenblatt!$B$7)),"a",IF(AND(L70=Datenblatt!$B$7,L69=Datenblatt!$B$7,NOT(L71=Datenblatt!$B$7)),"b","")))</f>
        <v/>
      </c>
      <c r="O70" s="19" t="str">
        <f t="shared" si="29"/>
        <v/>
      </c>
      <c r="P70" s="124" t="str">
        <f>IF(AND(M70=Datenblatt!$B$7,NOT(M69=Datenblatt!$B$7),NOT(M71=Datenblatt!$B$7)),"y",IF(AND(M70=Datenblatt!$B$7,M71=Datenblatt!$B$7,NOT(M69=Datenblatt!$B$7)),"a",IF(AND(M70=Datenblatt!$B$7,M69=Datenblatt!$B$7,NOT(M71=Datenblatt!$B$7)),"b","")))</f>
        <v/>
      </c>
      <c r="Q70" s="19" t="str">
        <f t="shared" si="30"/>
        <v/>
      </c>
      <c r="R70" s="124" t="str">
        <f>IF(I70="","",IF(AND(OR(J70="Krankenstand",J70="Urlaub",J70=""), AND(G70=0,NOT(I70=""))),Datenblatt!$B$7,""))</f>
        <v/>
      </c>
      <c r="S70" s="19" t="str">
        <f>IF(OR(J70="Krankenstand",J70="Urlaub"),"",IF(J70="","",VLOOKUP(D70,Dienste!C:W,21,)))</f>
        <v/>
      </c>
      <c r="T70" s="18" t="str">
        <f>IF(OR(J70="Krankenstand",J70="Urlaub"),"",IF(J70="","",VLOOKUP(D70,Dienste!C:W,5,)))</f>
        <v/>
      </c>
      <c r="U70" s="18" t="str">
        <f>IF(OR(J70="Krankenstand",J70="Urlaub"),"",IF(J70="","",VLOOKUP(D70,Dienste!C:W,6,)))</f>
        <v/>
      </c>
      <c r="V70" s="18" t="str">
        <f>IF(OR(J70="Krankenstand",J70="Urlaub"),"",IF(J70="","",VLOOKUP(D70,Dienste!C:W,7,)))</f>
        <v/>
      </c>
      <c r="W70" s="18" t="str">
        <f>IF(OR(J70="Krankenstand",J70="Urlaub"),"",IF(J70="","",VLOOKUP(D70,Dienste!C:W,11,)))</f>
        <v/>
      </c>
      <c r="X70" s="18" t="str">
        <f>IF(OR(J70="Krankenstand",J70="Urlaub"),"",IF(J70="","",VLOOKUP(D70,Dienste!C:W,12,)))</f>
        <v/>
      </c>
      <c r="Y70" s="19" t="str">
        <f>IF(OR(J70="Krankenstand",J70="Urlaub"),"",IF(J70="","",VLOOKUP(D70,Dienste!C:W,14,)))</f>
        <v/>
      </c>
      <c r="Z70" s="20" t="str">
        <f>IF(OR(J70="Krankenstand",J70="Urlaub"),"",IF(J70="","",VLOOKUP(D70,Dienste!C:W,15,)))</f>
        <v/>
      </c>
      <c r="AA70" s="124" t="str">
        <f t="shared" si="21"/>
        <v/>
      </c>
      <c r="AB70" s="19" t="str">
        <f t="shared" si="22"/>
        <v/>
      </c>
      <c r="AC70" s="126" t="str">
        <f>_xlfn.CONCAT(_xlfn.CONCAT(IF(I70="","",_xlfn.CONCAT("FT: ",I70,IF(J70="","","; "))),IF(B70&lt;Datenblatt!$B$9,"",IF(B70="","",IF(NOT(J70=""),SUBSTITUTE(SUBSTITUTE(SUBSTITUTE(J70," mR","")," oR","")," O",""),"")))),IF(AF70="","",_xlfn.CONCAT(CHAR(10),"; ",AF70)))</f>
        <v/>
      </c>
      <c r="AD70" s="124" t="str">
        <f t="shared" si="31"/>
        <v/>
      </c>
      <c r="AE70" s="19">
        <f t="shared" si="23"/>
        <v>0</v>
      </c>
      <c r="AF70" s="156"/>
    </row>
    <row r="71" spans="1:32" s="9" customFormat="1" ht="13">
      <c r="B71" s="6" t="str">
        <f>IF(B70="","",IF(DAY(B70+1)&lt;29,"",B70+1))</f>
        <v/>
      </c>
      <c r="C71" s="45" t="e">
        <f>SMALL(Daten!W:W,COUNTIF(Daten!W:W,"&lt;"&amp;Stundenaufzeichnung!B71+1))</f>
        <v>#NUM!</v>
      </c>
      <c r="D71" s="45" t="str">
        <f t="shared" si="19"/>
        <v/>
      </c>
      <c r="E71" s="8" t="str">
        <f t="shared" si="20"/>
        <v/>
      </c>
      <c r="F71" s="8" t="str">
        <f>IF(B71="","",MOD(E71+$F$3,7)+1)</f>
        <v/>
      </c>
      <c r="G71" s="8" t="str">
        <f>IF(B71="","",VLOOKUP(E71,Datenblatt!$L$2:$N$8,3,FALSE))</f>
        <v/>
      </c>
      <c r="H71" s="8" t="str">
        <f t="shared" si="26"/>
        <v/>
      </c>
      <c r="I71" s="11" t="str">
        <f>IFERROR(VLOOKUP(B71,Datenblatt!$E:$F,2,FALSE),"")</f>
        <v/>
      </c>
      <c r="J71" s="113"/>
      <c r="K71" s="19" t="str">
        <f>IF(B71&lt;Datenblatt!$B$9,"",IF(B71="","",IF(G71=0,Datenblatt!$B$7,"")))</f>
        <v/>
      </c>
      <c r="L71" s="19" t="str">
        <f t="shared" si="27"/>
        <v/>
      </c>
      <c r="M71" s="124" t="str">
        <f t="shared" si="28"/>
        <v/>
      </c>
      <c r="N71" s="124" t="str">
        <f>IF(AND(L71=Datenblatt!$B$7,NOT(L70=Datenblatt!$B$7),NOT(L72=Datenblatt!$B$7)),"y",IF(AND(L71=Datenblatt!$B$7,L72=Datenblatt!$B$7,NOT(L70=Datenblatt!$B$7)),"a",IF(AND(L71=Datenblatt!$B$7,L70=Datenblatt!$B$7,NOT(L72=Datenblatt!$B$7)),"b","")))</f>
        <v/>
      </c>
      <c r="O71" s="19" t="str">
        <f t="shared" si="29"/>
        <v/>
      </c>
      <c r="P71" s="124" t="str">
        <f>IF(AND(M71=Datenblatt!$B$7,NOT(M70=Datenblatt!$B$7),NOT(M72=Datenblatt!$B$7)),"y",IF(AND(M71=Datenblatt!$B$7,M72=Datenblatt!$B$7,NOT(M70=Datenblatt!$B$7)),"a",IF(AND(M71=Datenblatt!$B$7,M70=Datenblatt!$B$7,NOT(M72=Datenblatt!$B$7)),"b","")))</f>
        <v/>
      </c>
      <c r="Q71" s="19" t="str">
        <f t="shared" si="30"/>
        <v/>
      </c>
      <c r="R71" s="124" t="str">
        <f>IF(I71="","",IF(AND(OR(J71="Krankenstand",J71="Urlaub",J71=""), AND(G71=0,NOT(I71=""))),Datenblatt!$B$7,""))</f>
        <v/>
      </c>
      <c r="S71" s="19" t="str">
        <f>IF(OR(J71="Krankenstand",J71="Urlaub"),"",IF(J71="","",VLOOKUP(D71,Dienste!C:W,21,)))</f>
        <v/>
      </c>
      <c r="T71" s="18" t="str">
        <f>IF(OR(J71="Krankenstand",J71="Urlaub"),"",IF(J71="","",VLOOKUP(D71,Dienste!C:W,5,)))</f>
        <v/>
      </c>
      <c r="U71" s="18" t="str">
        <f>IF(OR(J71="Krankenstand",J71="Urlaub"),"",IF(J71="","",VLOOKUP(D71,Dienste!C:W,6,)))</f>
        <v/>
      </c>
      <c r="V71" s="18" t="str">
        <f>IF(OR(J71="Krankenstand",J71="Urlaub"),"",IF(J71="","",VLOOKUP(D71,Dienste!C:W,7,)))</f>
        <v/>
      </c>
      <c r="W71" s="18" t="str">
        <f>IF(OR(J71="Krankenstand",J71="Urlaub"),"",IF(J71="","",VLOOKUP(D71,Dienste!C:W,11,)))</f>
        <v/>
      </c>
      <c r="X71" s="18" t="str">
        <f>IF(OR(J71="Krankenstand",J71="Urlaub"),"",IF(J71="","",VLOOKUP(D71,Dienste!C:W,12,)))</f>
        <v/>
      </c>
      <c r="Y71" s="19" t="str">
        <f>IF(OR(J71="Krankenstand",J71="Urlaub"),"",IF(J71="","",VLOOKUP(D71,Dienste!C:W,14,)))</f>
        <v/>
      </c>
      <c r="Z71" s="20" t="str">
        <f>IF(OR(J71="Krankenstand",J71="Urlaub"),"",IF(J71="","",VLOOKUP(D71,Dienste!C:W,15,)))</f>
        <v/>
      </c>
      <c r="AA71" s="124" t="str">
        <f t="shared" si="21"/>
        <v/>
      </c>
      <c r="AB71" s="19" t="str">
        <f t="shared" si="22"/>
        <v/>
      </c>
      <c r="AC71" s="126" t="str">
        <f>_xlfn.CONCAT(_xlfn.CONCAT(IF(I71="","",_xlfn.CONCAT("FT: ",I71,IF(J71="","","; "))),IF(B71&lt;Datenblatt!$B$9,"",IF(B71="","",IF(NOT(J71=""),SUBSTITUTE(SUBSTITUTE(SUBSTITUTE(J71," mR","")," oR","")," O",""),"")))),IF(AF71="","",_xlfn.CONCAT(CHAR(10),"; ",AF71)))</f>
        <v/>
      </c>
      <c r="AD71" s="124" t="str">
        <f t="shared" si="31"/>
        <v/>
      </c>
      <c r="AE71" s="19">
        <f t="shared" si="23"/>
        <v>0</v>
      </c>
      <c r="AF71" s="156"/>
    </row>
    <row r="72" spans="1:32" s="9" customFormat="1" ht="13">
      <c r="B72" s="6" t="str">
        <f>IF(B71="","",IF(DAY(B71+1)&lt;30,"",B71+1))</f>
        <v/>
      </c>
      <c r="C72" s="45" t="e">
        <f>SMALL(Daten!W:W,COUNTIF(Daten!W:W,"&lt;"&amp;Stundenaufzeichnung!B72+1))</f>
        <v>#NUM!</v>
      </c>
      <c r="D72" s="45" t="str">
        <f t="shared" si="19"/>
        <v/>
      </c>
      <c r="E72" s="8" t="str">
        <f t="shared" si="20"/>
        <v/>
      </c>
      <c r="F72" s="8" t="str">
        <f>IF(B72="","",MOD(E72+$F$3,7)+1)</f>
        <v/>
      </c>
      <c r="G72" s="8" t="str">
        <f>IF(B72="","",VLOOKUP(E72,Datenblatt!$L$2:$N$8,3,FALSE))</f>
        <v/>
      </c>
      <c r="H72" s="8" t="str">
        <f t="shared" si="26"/>
        <v/>
      </c>
      <c r="I72" s="11" t="str">
        <f>IFERROR(VLOOKUP(B72,Datenblatt!$E:$F,2,FALSE),"")</f>
        <v/>
      </c>
      <c r="J72" s="113"/>
      <c r="K72" s="19" t="str">
        <f>IF(B72&lt;Datenblatt!$B$9,"",IF(B72="","",IF(G72=0,Datenblatt!$B$7,"")))</f>
        <v/>
      </c>
      <c r="L72" s="19" t="str">
        <f t="shared" si="27"/>
        <v/>
      </c>
      <c r="M72" s="124" t="str">
        <f t="shared" si="28"/>
        <v/>
      </c>
      <c r="N72" s="124" t="str">
        <f>IF(AND(L72=Datenblatt!$B$7,NOT(L71=Datenblatt!$B$7),NOT(L73=Datenblatt!$B$7)),"y",IF(AND(L72=Datenblatt!$B$7,L73=Datenblatt!$B$7,NOT(L71=Datenblatt!$B$7)),"a",IF(AND(L72=Datenblatt!$B$7,L71=Datenblatt!$B$7,NOT(L73=Datenblatt!$B$7)),"b","")))</f>
        <v/>
      </c>
      <c r="O72" s="19" t="str">
        <f t="shared" si="29"/>
        <v/>
      </c>
      <c r="P72" s="124" t="str">
        <f>IF(AND(M72=Datenblatt!$B$7,NOT(M71=Datenblatt!$B$7),NOT(M73=Datenblatt!$B$7)),"y",IF(AND(M72=Datenblatt!$B$7,M73=Datenblatt!$B$7,NOT(M71=Datenblatt!$B$7)),"a",IF(AND(M72=Datenblatt!$B$7,M71=Datenblatt!$B$7,NOT(M73=Datenblatt!$B$7)),"b","")))</f>
        <v/>
      </c>
      <c r="Q72" s="19" t="str">
        <f t="shared" si="30"/>
        <v/>
      </c>
      <c r="R72" s="124" t="str">
        <f>IF(I72="","",IF(AND(OR(J72="Krankenstand",J72="Urlaub",J72=""), AND(G72=0,NOT(I72=""))),Datenblatt!$B$7,""))</f>
        <v/>
      </c>
      <c r="S72" s="19" t="str">
        <f>IF(OR(J72="Krankenstand",J72="Urlaub"),"",IF(J72="","",VLOOKUP(D72,Dienste!C:W,21,)))</f>
        <v/>
      </c>
      <c r="T72" s="18" t="str">
        <f>IF(OR(J72="Krankenstand",J72="Urlaub"),"",IF(J72="","",VLOOKUP(D72,Dienste!C:W,5,)))</f>
        <v/>
      </c>
      <c r="U72" s="18" t="str">
        <f>IF(OR(J72="Krankenstand",J72="Urlaub"),"",IF(J72="","",VLOOKUP(D72,Dienste!C:W,6,)))</f>
        <v/>
      </c>
      <c r="V72" s="18" t="str">
        <f>IF(OR(J72="Krankenstand",J72="Urlaub"),"",IF(J72="","",VLOOKUP(D72,Dienste!C:W,7,)))</f>
        <v/>
      </c>
      <c r="W72" s="18" t="str">
        <f>IF(OR(J72="Krankenstand",J72="Urlaub"),"",IF(J72="","",VLOOKUP(D72,Dienste!C:W,11,)))</f>
        <v/>
      </c>
      <c r="X72" s="18" t="str">
        <f>IF(OR(J72="Krankenstand",J72="Urlaub"),"",IF(J72="","",VLOOKUP(D72,Dienste!C:W,12,)))</f>
        <v/>
      </c>
      <c r="Y72" s="19" t="str">
        <f>IF(OR(J72="Krankenstand",J72="Urlaub"),"",IF(J72="","",VLOOKUP(D72,Dienste!C:W,14,)))</f>
        <v/>
      </c>
      <c r="Z72" s="20" t="str">
        <f>IF(OR(J72="Krankenstand",J72="Urlaub"),"",IF(J72="","",VLOOKUP(D72,Dienste!C:W,15,)))</f>
        <v/>
      </c>
      <c r="AA72" s="124" t="str">
        <f>IF(OR(Y72="",NOT(AB72="")),"",IF(AND(Y72&lt;AE73,AE73&gt;0),Y72,IF(AE73&gt;0,AE73,"")))</f>
        <v/>
      </c>
      <c r="AB72" s="19" t="str">
        <f t="shared" si="22"/>
        <v/>
      </c>
      <c r="AC72" s="126" t="str">
        <f>_xlfn.CONCAT(_xlfn.CONCAT(IF(I72="","",_xlfn.CONCAT("FT: ",I72,IF(J72="","","; "))),IF(B72&lt;Datenblatt!$B$9,"",IF(B72="","",IF(NOT(J72=""),SUBSTITUTE(SUBSTITUTE(SUBSTITUTE(J72," mR","")," oR","")," O",""),"")))),IF(AF72="","",_xlfn.CONCAT(CHAR(10),"; ",AF72)))</f>
        <v/>
      </c>
      <c r="AD72" s="124" t="str">
        <f t="shared" si="31"/>
        <v/>
      </c>
      <c r="AE72" s="19">
        <f t="shared" si="23"/>
        <v>0</v>
      </c>
      <c r="AF72" s="156"/>
    </row>
    <row r="73" spans="1:32" s="9" customFormat="1" ht="13">
      <c r="B73" s="28" t="str">
        <f>IF(B72="","",IF(DAY(B72+1)&lt;31,"",B72+1))</f>
        <v/>
      </c>
      <c r="C73" s="47" t="e">
        <f>SMALL(Daten!W:W,COUNTIF(Daten!W:W,"&lt;"&amp;Stundenaufzeichnung!B73+1))</f>
        <v>#NUM!</v>
      </c>
      <c r="D73" s="47" t="str">
        <f t="shared" si="19"/>
        <v/>
      </c>
      <c r="E73" s="29" t="str">
        <f t="shared" si="20"/>
        <v/>
      </c>
      <c r="F73" s="29" t="str">
        <f>IF(B73="","",MOD(E73+$F$3,7)+1)</f>
        <v/>
      </c>
      <c r="G73" s="29" t="str">
        <f>IF(B73="","",VLOOKUP(E73,Datenblatt!$L$2:$N$8,3,FALSE))</f>
        <v/>
      </c>
      <c r="H73" s="29" t="str">
        <f t="shared" si="26"/>
        <v/>
      </c>
      <c r="I73" s="123" t="str">
        <f>IFERROR(VLOOKUP(B73,Datenblatt!$E:$F,2,FALSE),"")</f>
        <v/>
      </c>
      <c r="J73" s="114"/>
      <c r="K73" s="30" t="str">
        <f>IF(B73&lt;Datenblatt!$B$9,"",IF(B73="","",IF(G73=0,Datenblatt!$B$7,"")))</f>
        <v/>
      </c>
      <c r="L73" s="30" t="str">
        <f t="shared" si="27"/>
        <v/>
      </c>
      <c r="M73" s="30" t="str">
        <f t="shared" si="28"/>
        <v/>
      </c>
      <c r="N73" s="30" t="str">
        <f>IF(AND(L73=Datenblatt!$B$7,NOT(L72=Datenblatt!$B$7),NOT(L74=Datenblatt!$B$7)),"y",IF(AND(L73=Datenblatt!$B$7,L74=Datenblatt!$B$7,NOT(L72=Datenblatt!$B$7)),"a",IF(AND(L73=Datenblatt!$B$7,L72=Datenblatt!$B$7,NOT(L74=Datenblatt!$B$7)),"b","")))</f>
        <v/>
      </c>
      <c r="O73" s="30" t="str">
        <f t="shared" si="29"/>
        <v/>
      </c>
      <c r="P73" s="30" t="str">
        <f>IF(AND(M73=Datenblatt!$B$7,NOT(M72=Datenblatt!$B$7),NOT(M74=Datenblatt!$B$7)),"y",IF(AND(M73=Datenblatt!$B$7,M74=Datenblatt!$B$7,NOT(M72=Datenblatt!$B$7)),"a",IF(AND(M73=Datenblatt!$B$7,M72=Datenblatt!$B$7,NOT(M74=Datenblatt!$B$7)),"b","")))</f>
        <v/>
      </c>
      <c r="Q73" s="30" t="str">
        <f t="shared" si="30"/>
        <v/>
      </c>
      <c r="R73" s="30" t="str">
        <f>IF(I73="","",IF(AND(OR(J73="Krankenstand",J73="Urlaub",J73=""), AND(G73=0,NOT(I73=""))),Datenblatt!$B$7,""))</f>
        <v/>
      </c>
      <c r="S73" s="30" t="str">
        <f>IF(OR(J73="Krankenstand",J73="Urlaub"),"",IF(J73="","",VLOOKUP(D73,Dienste!C:W,21,)))</f>
        <v/>
      </c>
      <c r="T73" s="31" t="str">
        <f>IF(OR(J73="Krankenstand",J73="Urlaub"),"",IF(J73="","",VLOOKUP(D73,Dienste!C:W,5,)))</f>
        <v/>
      </c>
      <c r="U73" s="31" t="str">
        <f>IF(OR(J73="Krankenstand",J73="Urlaub"),"",IF(J73="","",VLOOKUP(D73,Dienste!C:W,6,)))</f>
        <v/>
      </c>
      <c r="V73" s="31" t="str">
        <f>IF(OR(J73="Krankenstand",J73="Urlaub"),"",IF(J73="","",VLOOKUP(D73,Dienste!C:W,7,)))</f>
        <v/>
      </c>
      <c r="W73" s="31" t="str">
        <f>IF(OR(J73="Krankenstand",J73="Urlaub"),"",IF(J73="","",VLOOKUP(D73,Dienste!C:W,11,)))</f>
        <v/>
      </c>
      <c r="X73" s="31" t="str">
        <f>IF(OR(J73="Krankenstand",J73="Urlaub"),"",IF(J73="","",VLOOKUP(D73,Dienste!C:W,12,)))</f>
        <v/>
      </c>
      <c r="Y73" s="30" t="str">
        <f>IF(OR(J73="Krankenstand",J73="Urlaub"),"",IF(J73="","",VLOOKUP(D73,Dienste!C:W,14,)))</f>
        <v/>
      </c>
      <c r="Z73" s="32" t="str">
        <f>IF(OR(J73="Krankenstand",J73="Urlaub"),"",IF(J73="","",VLOOKUP(D73,Dienste!C:W,15,)))</f>
        <v/>
      </c>
      <c r="AA73" s="30" t="str">
        <f>IF(OR(Y73="",NOT(AB73="")),"",IF(AND(Y73&lt;AE74,AE74&gt;0),Y73,IF(AE74&gt;0,AE74,"")))</f>
        <v/>
      </c>
      <c r="AB73" s="30" t="str">
        <f t="shared" si="22"/>
        <v/>
      </c>
      <c r="AC73" s="125" t="str">
        <f>_xlfn.CONCAT(_xlfn.CONCAT(IF(I73="","",_xlfn.CONCAT("FT: ",I73,IF(J73="","","; "))),IF(B73&lt;Datenblatt!$B$9,"",IF(B73="","",IF(NOT(J73=""),SUBSTITUTE(SUBSTITUTE(SUBSTITUTE(J73," mR","")," oR","")," O",""),"")))),IF(AF73="","",_xlfn.CONCAT(CHAR(10),"; ",AF73)))</f>
        <v/>
      </c>
      <c r="AD73" s="30" t="str">
        <f t="shared" si="31"/>
        <v/>
      </c>
      <c r="AE73" s="30">
        <f>IF(OR(Y73="",NOT(AB73="")),AE74,AE74-Y73)</f>
        <v>0</v>
      </c>
      <c r="AF73" s="157"/>
    </row>
    <row r="74" spans="1:32" s="8" customFormat="1" ht="13">
      <c r="AA74" s="19">
        <f>IF(AD75-AB75-K75&lt;0,0,AD75-AB75-K75)</f>
        <v>0</v>
      </c>
      <c r="AC74" s="17" t="s">
        <v>193</v>
      </c>
      <c r="AE74" s="19">
        <f>AA74</f>
        <v>0</v>
      </c>
      <c r="AF74" s="17"/>
    </row>
    <row r="75" spans="1:32" s="8" customFormat="1" ht="13">
      <c r="B75" s="25" t="str">
        <f>"Summen "&amp;TEXT(B43,"MMMM")</f>
        <v>Summen Februar</v>
      </c>
      <c r="C75" s="25"/>
      <c r="D75" s="25"/>
      <c r="E75" s="17"/>
      <c r="F75" s="17"/>
      <c r="G75" s="17"/>
      <c r="H75" s="17"/>
      <c r="I75" s="17"/>
      <c r="J75" s="17"/>
      <c r="K75" s="19">
        <f>SUM(K43:K73)</f>
        <v>160.07999999999996</v>
      </c>
      <c r="L75" s="19">
        <f t="shared" ref="L75:M75" si="32">SUM(L43:L73)</f>
        <v>0</v>
      </c>
      <c r="M75" s="19">
        <f t="shared" si="32"/>
        <v>0</v>
      </c>
      <c r="N75" s="19"/>
      <c r="O75" s="19" t="str">
        <f>IF(_xlfn.CONCAT(O43:O73)="","",REPLACE(_xlfn.CONCAT(O43:O73),LEN(_xlfn.CONCAT(O43:O73))-1,1,""))</f>
        <v/>
      </c>
      <c r="P75" s="19"/>
      <c r="Q75" s="19" t="str">
        <f t="shared" ref="Q75" si="33">IF(_xlfn.CONCAT(Q43:Q73)="","",REPLACE(_xlfn.CONCAT(Q43:Q73),LEN(_xlfn.CONCAT(Q43:Q73))-1,1,""))</f>
        <v/>
      </c>
      <c r="R75" s="19">
        <f t="shared" ref="R75:S75" si="34">SUM(R43:R73)</f>
        <v>0</v>
      </c>
      <c r="S75" s="19">
        <f t="shared" si="34"/>
        <v>0</v>
      </c>
      <c r="T75" s="19"/>
      <c r="U75" s="19"/>
      <c r="V75" s="19"/>
      <c r="W75" s="19"/>
      <c r="X75" s="17"/>
      <c r="Y75" s="19">
        <f>SUM(Y43:Y73)</f>
        <v>0</v>
      </c>
      <c r="Z75" s="20">
        <f>SUM(Z43:Z73)</f>
        <v>0</v>
      </c>
      <c r="AA75" s="26">
        <f>IF(AA74&gt;10,10,AA74)</f>
        <v>0</v>
      </c>
      <c r="AB75" s="19">
        <f t="shared" ref="AB75" si="35">SUM(AB43:AB73)</f>
        <v>0</v>
      </c>
      <c r="AC75" s="20">
        <f>R76</f>
        <v>0</v>
      </c>
      <c r="AD75" s="19">
        <f>SUM(AD43:AD73)</f>
        <v>0</v>
      </c>
      <c r="AE75" s="19"/>
      <c r="AF75" s="20"/>
    </row>
    <row r="76" spans="1:32" s="8" customFormat="1" ht="13">
      <c r="B76" s="25" t="str">
        <f>"Anzahl "&amp;TEXT(B43,"MMMM")</f>
        <v>Anzahl Februar</v>
      </c>
      <c r="C76" s="25"/>
      <c r="D76" s="25"/>
      <c r="E76" s="17"/>
      <c r="F76" s="17"/>
      <c r="G76" s="17"/>
      <c r="H76" s="17"/>
      <c r="I76" s="17"/>
      <c r="J76" s="17"/>
      <c r="K76" s="17">
        <f>COUNT(K43:K73)</f>
        <v>24</v>
      </c>
      <c r="L76" s="17">
        <f t="shared" ref="L76:M76" si="36">COUNT(L43:L73)</f>
        <v>0</v>
      </c>
      <c r="M76" s="17">
        <f t="shared" si="36"/>
        <v>0</v>
      </c>
      <c r="N76" s="17"/>
      <c r="O76" s="17"/>
      <c r="P76" s="17"/>
      <c r="Q76" s="17"/>
      <c r="R76" s="17">
        <f t="shared" ref="R76:S76" si="37">COUNT(R43:R73)</f>
        <v>0</v>
      </c>
      <c r="S76" s="17">
        <f t="shared" si="37"/>
        <v>0</v>
      </c>
      <c r="T76" s="17"/>
      <c r="U76" s="17"/>
      <c r="V76" s="17"/>
      <c r="W76" s="17"/>
      <c r="X76" s="17"/>
      <c r="Y76" s="17"/>
      <c r="Z76" s="17"/>
      <c r="AA76" s="27">
        <f>IF(AA74&gt;10,AA74-10,0)</f>
        <v>0</v>
      </c>
      <c r="AB76" s="17"/>
      <c r="AC76" s="17"/>
      <c r="AD76" s="17"/>
      <c r="AE76" s="17"/>
      <c r="AF76" s="17"/>
    </row>
    <row r="77" spans="1:32" s="8" customFormat="1" ht="13.5" thickBot="1">
      <c r="A77" s="10"/>
      <c r="B77" s="10"/>
      <c r="C77" s="10"/>
      <c r="D77" s="10"/>
      <c r="E77" s="10"/>
      <c r="F77" s="10"/>
      <c r="G77" s="10"/>
      <c r="H77" s="10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0"/>
      <c r="AB77" s="10"/>
      <c r="AC77" s="10"/>
      <c r="AD77" s="34"/>
      <c r="AE77" s="34"/>
      <c r="AF77" s="10"/>
    </row>
    <row r="78" spans="1:32" s="5" customFormat="1"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32" s="5" customFormat="1" ht="18.5">
      <c r="B79" s="33" t="s">
        <v>95</v>
      </c>
      <c r="C79" s="33"/>
      <c r="D79" s="33"/>
      <c r="E79" s="23"/>
      <c r="F79" s="23"/>
      <c r="G79" s="23"/>
      <c r="H79" s="23"/>
      <c r="I79" s="217" t="str">
        <f>Datenblatt!$B$4</f>
        <v>Dummy Name</v>
      </c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8" t="str">
        <f>TEXT(B82,"MMMM JJJJ")</f>
        <v>März 2022</v>
      </c>
      <c r="U79" s="218"/>
      <c r="V79" s="218"/>
      <c r="W79" s="218"/>
      <c r="X79" s="8"/>
      <c r="Y79" s="8"/>
      <c r="Z79" s="8"/>
    </row>
    <row r="80" spans="1:32" s="5" customFormat="1" ht="15" customHeight="1">
      <c r="I80" s="2"/>
      <c r="J80" s="2"/>
      <c r="K80" s="13"/>
      <c r="L80" s="13"/>
      <c r="M80" s="13"/>
      <c r="N80" s="13"/>
      <c r="O80" s="13"/>
      <c r="P80" s="13"/>
      <c r="Q80" s="13"/>
      <c r="R80" s="13"/>
      <c r="S80" s="13"/>
      <c r="T80" s="221" t="s">
        <v>43</v>
      </c>
      <c r="U80" s="221"/>
      <c r="V80" s="221" t="s">
        <v>45</v>
      </c>
      <c r="W80" s="221" t="s">
        <v>116</v>
      </c>
      <c r="X80" s="221" t="s">
        <v>11</v>
      </c>
      <c r="Y80" s="219" t="s">
        <v>194</v>
      </c>
      <c r="Z80" s="219" t="s">
        <v>7</v>
      </c>
      <c r="AA80" s="220" t="s">
        <v>49</v>
      </c>
      <c r="AB80" s="220"/>
      <c r="AC80" s="160"/>
      <c r="AD80" s="160"/>
    </row>
    <row r="81" spans="1:32" s="5" customFormat="1" ht="15" customHeight="1">
      <c r="B81" s="8"/>
      <c r="C81" s="8"/>
      <c r="D81" s="8" t="s">
        <v>161</v>
      </c>
      <c r="E81" s="8"/>
      <c r="F81" s="8">
        <f>VLOOKUP(Datenblatt!$B$8,Datenblatt!$J:$K,2,FALSE)</f>
        <v>4</v>
      </c>
      <c r="G81" s="8" t="s">
        <v>113</v>
      </c>
      <c r="H81" s="8"/>
      <c r="I81" s="12" t="s">
        <v>92</v>
      </c>
      <c r="J81" s="115" t="s">
        <v>12</v>
      </c>
      <c r="K81" s="12" t="s">
        <v>94</v>
      </c>
      <c r="L81" s="12" t="s">
        <v>85</v>
      </c>
      <c r="M81" s="12" t="s">
        <v>88</v>
      </c>
      <c r="N81" s="12" t="s">
        <v>117</v>
      </c>
      <c r="O81" s="12" t="s">
        <v>117</v>
      </c>
      <c r="P81" s="12" t="s">
        <v>118</v>
      </c>
      <c r="Q81" s="12" t="s">
        <v>118</v>
      </c>
      <c r="R81" s="12" t="s">
        <v>112</v>
      </c>
      <c r="S81" s="12" t="s">
        <v>115</v>
      </c>
      <c r="T81" s="15" t="s">
        <v>51</v>
      </c>
      <c r="U81" s="15" t="s">
        <v>50</v>
      </c>
      <c r="V81" s="222"/>
      <c r="W81" s="222"/>
      <c r="X81" s="222"/>
      <c r="Y81" s="219"/>
      <c r="Z81" s="219" t="s">
        <v>7</v>
      </c>
      <c r="AA81" s="21">
        <v>0.5</v>
      </c>
      <c r="AB81" s="16" t="s">
        <v>114</v>
      </c>
      <c r="AC81" s="16" t="s">
        <v>131</v>
      </c>
      <c r="AD81" s="16" t="s">
        <v>131</v>
      </c>
      <c r="AE81" s="128" t="s">
        <v>195</v>
      </c>
      <c r="AF81" s="16" t="s">
        <v>198</v>
      </c>
    </row>
    <row r="82" spans="1:32" s="9" customFormat="1" ht="13">
      <c r="A82" s="9">
        <f>A43+1</f>
        <v>3</v>
      </c>
      <c r="B82" s="6">
        <f>DATE(Datenblatt!$B$3,A82,1)</f>
        <v>44621</v>
      </c>
      <c r="C82" s="45">
        <f>SMALL(Daten!W:W,COUNTIF(Daten!W:W,"&lt;"&amp;Stundenaufzeichnung!B82+1))</f>
        <v>44578</v>
      </c>
      <c r="D82" s="45" t="str">
        <f t="shared" ref="D82:D112" si="38">IF(J82="","",CONCATENATE(C82," ",J82))</f>
        <v/>
      </c>
      <c r="E82" s="8">
        <f t="shared" ref="E82:E112" si="39">IF(B82="","",WEEKDAY(B82,16))</f>
        <v>4</v>
      </c>
      <c r="F82" s="8">
        <f>MOD(E82+$F$3,7)+1</f>
        <v>2</v>
      </c>
      <c r="G82" s="8">
        <f>IF(B82="","",VLOOKUP(E82,Datenblatt!$L$2:$N$8,3,FALSE))</f>
        <v>0</v>
      </c>
      <c r="H82" s="8" t="str">
        <f>IF(OR(G82=1),"x",IF(I82="","","x"))</f>
        <v/>
      </c>
      <c r="I82" s="11" t="str">
        <f>IFERROR(VLOOKUP(B82,Datenblatt!$E:$F,2,FALSE),"")</f>
        <v/>
      </c>
      <c r="J82" s="113"/>
      <c r="K82" s="19">
        <f>IF(B82&lt;Datenblatt!$B$9,"",IF(B82="","",IF(G82=0,Datenblatt!$B$7,"")))</f>
        <v>6.67</v>
      </c>
      <c r="L82" s="19" t="str">
        <f>IF(AND(J82="Krankenstand",R82=""),K82,"")</f>
        <v/>
      </c>
      <c r="M82" s="124" t="str">
        <f>IF(AND(J82="Urlaub",R82=""),K82,"")</f>
        <v/>
      </c>
      <c r="N82" s="124" t="str">
        <f>IF(AND(L82=Datenblatt!$B$7,NOT(L81=Datenblatt!$B$7),NOT(L83=Datenblatt!$B$7)),"y",IF(AND(L82=Datenblatt!$B$7,L83=Datenblatt!$B$7,NOT(L81=Datenblatt!$B$7)),"a",IF(AND(L82=Datenblatt!$B$7,L81=Datenblatt!$B$7,NOT(L83=Datenblatt!$B$7)),"b","")))</f>
        <v/>
      </c>
      <c r="O82" s="19" t="str">
        <f>IF(N82="a",TEXT(B82,"TT.MM.")&amp;" - ",IF(OR(N82="b",N82="y"),TEXT(B82,"TT.MM.")&amp;"; ",""))</f>
        <v/>
      </c>
      <c r="P82" s="124" t="str">
        <f>IF(AND(M82=Datenblatt!$B$7,NOT(M81=Datenblatt!$B$7),NOT(M83=Datenblatt!$B$7)),"y",IF(AND(M82=Datenblatt!$B$7,M83=Datenblatt!$B$7,NOT(M81=Datenblatt!$B$7)),"a",IF(AND(M82=Datenblatt!$B$7,M81=Datenblatt!$B$7,NOT(M83=Datenblatt!$B$7)),"b","")))</f>
        <v/>
      </c>
      <c r="Q82" s="19" t="str">
        <f>IF(P82="a",TEXT(B82,"TT.MM.")&amp;" - ",IF(OR(P82="b",P82="y"),TEXT(B82,"TT.MM.")&amp;"; ",""))</f>
        <v/>
      </c>
      <c r="R82" s="124" t="str">
        <f>IF(I82="","",IF(AND(OR(J82="Krankenstand",J82="Urlaub",J82=""), AND(G82=0,NOT(I82=""))),Datenblatt!$B$7,""))</f>
        <v/>
      </c>
      <c r="S82" s="19" t="str">
        <f>IF(OR(J82="Krankenstand",J82="Urlaub"),"",IF(J82="","",VLOOKUP(D82,Dienste!C:W,21,)))</f>
        <v/>
      </c>
      <c r="T82" s="18" t="str">
        <f>IF(OR(J82="Krankenstand",J82="Urlaub"),"",IF(J82="","",VLOOKUP(D82,Dienste!C:W,5,)))</f>
        <v/>
      </c>
      <c r="U82" s="18" t="str">
        <f>IF(OR(J82="Krankenstand",J82="Urlaub"),"",IF(J82="","",VLOOKUP(D82,Dienste!C:W,6,)))</f>
        <v/>
      </c>
      <c r="V82" s="18" t="str">
        <f>IF(OR(J82="Krankenstand",J82="Urlaub"),"",IF(J82="","",VLOOKUP(D82,Dienste!C:W,7,)))</f>
        <v/>
      </c>
      <c r="W82" s="18" t="str">
        <f>IF(OR(J82="Krankenstand",J82="Urlaub"),"",IF(J82="","",VLOOKUP(D82,Dienste!C:W,11,)))</f>
        <v/>
      </c>
      <c r="X82" s="18" t="str">
        <f>IF(OR(J82="Krankenstand",J82="Urlaub"),"",IF(J82="","",VLOOKUP(D82,Dienste!C:W,12,)))</f>
        <v/>
      </c>
      <c r="Y82" s="19" t="str">
        <f>IF(OR(J82="Krankenstand",J82="Urlaub"),"",IF(J82="","",VLOOKUP(D82,Dienste!C:W,14,)))</f>
        <v/>
      </c>
      <c r="Z82" s="20" t="str">
        <f>IF(OR(J82="Krankenstand",J82="Urlaub"),"",IF(J82="","",VLOOKUP(D82,Dienste!C:W,15,)))</f>
        <v/>
      </c>
      <c r="AA82" s="124" t="str">
        <f t="shared" ref="AA82:AA110" si="40">IF(OR(Y82="",NOT(AB82="")),"",IF(AND(Y82&lt;AE83,AE83&gt;0),Y82,IF(AE83&gt;0,AE83,"")))</f>
        <v/>
      </c>
      <c r="AB82" s="19" t="str">
        <f t="shared" ref="AB82:AB112" si="41">IF(I82="","",Y82)</f>
        <v/>
      </c>
      <c r="AC82" s="126" t="str">
        <f>_xlfn.CONCAT(_xlfn.CONCAT(IF(I82="","",_xlfn.CONCAT("FT: ",I82,IF(J82="","","; "))),IF(B82&lt;Datenblatt!$B$9,"",IF(B82="","",IF(NOT(J82=""),SUBSTITUTE(SUBSTITUTE(SUBSTITUTE(J82," mR","")," oR","")," O",""),"")))),IF(AF82="","",_xlfn.CONCAT(CHAR(10),"; ",AF82)))</f>
        <v/>
      </c>
      <c r="AD82" s="124" t="str">
        <f>IF(SUM(Y82,R82,M82,L82)&lt;=0,"",SUM(Y82,R82,M82,L82))</f>
        <v/>
      </c>
      <c r="AE82" s="19">
        <f t="shared" ref="AE82:AE111" si="42">IF(OR(Y82="",NOT(AB82="")),AE83,AE83-Y82)</f>
        <v>0</v>
      </c>
      <c r="AF82" s="156"/>
    </row>
    <row r="83" spans="1:32" s="9" customFormat="1" ht="13">
      <c r="B83" s="6">
        <f t="shared" ref="B83:B109" si="43">B82+1</f>
        <v>44622</v>
      </c>
      <c r="C83" s="45">
        <f>SMALL(Daten!W:W,COUNTIF(Daten!W:W,"&lt;"&amp;Stundenaufzeichnung!B83+1))</f>
        <v>44578</v>
      </c>
      <c r="D83" s="45" t="str">
        <f t="shared" si="38"/>
        <v/>
      </c>
      <c r="E83" s="8">
        <f t="shared" si="39"/>
        <v>5</v>
      </c>
      <c r="F83" s="8">
        <f t="shared" ref="F83:F109" si="44">MOD(E83+$F$3,7)+1</f>
        <v>3</v>
      </c>
      <c r="G83" s="8">
        <f>IF(B83="","",VLOOKUP(E83,Datenblatt!$L$2:$N$8,3,FALSE))</f>
        <v>0</v>
      </c>
      <c r="H83" s="8" t="str">
        <f t="shared" ref="H83:H112" si="45">IF(OR(G83=1),"x",IF(I83="","","x"))</f>
        <v/>
      </c>
      <c r="I83" s="11" t="str">
        <f>IFERROR(VLOOKUP(B83,Datenblatt!$E:$F,2,FALSE),"")</f>
        <v/>
      </c>
      <c r="J83" s="113"/>
      <c r="K83" s="19">
        <f>IF(B83&lt;Datenblatt!$B$9,"",IF(B83="","",IF(G83=0,Datenblatt!$B$7,"")))</f>
        <v>6.67</v>
      </c>
      <c r="L83" s="19" t="str">
        <f t="shared" ref="L83:L112" si="46">IF(AND(J83="Krankenstand",R83=""),K83,"")</f>
        <v/>
      </c>
      <c r="M83" s="124" t="str">
        <f t="shared" ref="M83:M112" si="47">IF(AND(J83="Urlaub",R83=""),K83,"")</f>
        <v/>
      </c>
      <c r="N83" s="124" t="str">
        <f>IF(AND(L83=Datenblatt!$B$7,NOT(L82=Datenblatt!$B$7),NOT(L84=Datenblatt!$B$7)),"y",IF(AND(L83=Datenblatt!$B$7,L84=Datenblatt!$B$7,NOT(L82=Datenblatt!$B$7)),"a",IF(AND(L83=Datenblatt!$B$7,L82=Datenblatt!$B$7,NOT(L84=Datenblatt!$B$7)),"b","")))</f>
        <v/>
      </c>
      <c r="O83" s="19" t="str">
        <f t="shared" ref="O83:O112" si="48">IF(N83="a",TEXT(B83,"TT.MM.")&amp;" - ",IF(OR(N83="b",N83="y"),TEXT(B83,"TT.MM.")&amp;"; ",""))</f>
        <v/>
      </c>
      <c r="P83" s="124" t="str">
        <f>IF(AND(M83=Datenblatt!$B$7,NOT(M82=Datenblatt!$B$7),NOT(M84=Datenblatt!$B$7)),"y",IF(AND(M83=Datenblatt!$B$7,M84=Datenblatt!$B$7,NOT(M82=Datenblatt!$B$7)),"a",IF(AND(M83=Datenblatt!$B$7,M82=Datenblatt!$B$7,NOT(M84=Datenblatt!$B$7)),"b","")))</f>
        <v/>
      </c>
      <c r="Q83" s="19" t="str">
        <f t="shared" ref="Q83:Q112" si="49">IF(P83="a",TEXT(B83,"TT.MM.")&amp;" - ",IF(OR(P83="b",P83="y"),TEXT(B83,"TT.MM.")&amp;"; ",""))</f>
        <v/>
      </c>
      <c r="R83" s="124" t="str">
        <f>IF(I83="","",IF(AND(OR(J83="Krankenstand",J83="Urlaub",J83=""), AND(G83=0,NOT(I83=""))),Datenblatt!$B$7,""))</f>
        <v/>
      </c>
      <c r="S83" s="19" t="str">
        <f>IF(OR(J83="Krankenstand",J83="Urlaub"),"",IF(J83="","",VLOOKUP(D83,Dienste!C:W,21,)))</f>
        <v/>
      </c>
      <c r="T83" s="18" t="str">
        <f>IF(OR(J83="Krankenstand",J83="Urlaub"),"",IF(J83="","",VLOOKUP(D83,Dienste!C:W,5,)))</f>
        <v/>
      </c>
      <c r="U83" s="18" t="str">
        <f>IF(OR(J83="Krankenstand",J83="Urlaub"),"",IF(J83="","",VLOOKUP(D83,Dienste!C:W,6,)))</f>
        <v/>
      </c>
      <c r="V83" s="18" t="str">
        <f>IF(OR(J83="Krankenstand",J83="Urlaub"),"",IF(J83="","",VLOOKUP(D83,Dienste!C:W,7,)))</f>
        <v/>
      </c>
      <c r="W83" s="18" t="str">
        <f>IF(OR(J83="Krankenstand",J83="Urlaub"),"",IF(J83="","",VLOOKUP(D83,Dienste!C:W,11,)))</f>
        <v/>
      </c>
      <c r="X83" s="18" t="str">
        <f>IF(OR(J83="Krankenstand",J83="Urlaub"),"",IF(J83="","",VLOOKUP(D83,Dienste!C:W,12,)))</f>
        <v/>
      </c>
      <c r="Y83" s="19" t="str">
        <f>IF(OR(J83="Krankenstand",J83="Urlaub"),"",IF(J83="","",VLOOKUP(D83,Dienste!C:W,14,)))</f>
        <v/>
      </c>
      <c r="Z83" s="20" t="str">
        <f>IF(OR(J83="Krankenstand",J83="Urlaub"),"",IF(J83="","",VLOOKUP(D83,Dienste!C:W,15,)))</f>
        <v/>
      </c>
      <c r="AA83" s="124" t="str">
        <f t="shared" si="40"/>
        <v/>
      </c>
      <c r="AB83" s="19" t="str">
        <f t="shared" si="41"/>
        <v/>
      </c>
      <c r="AC83" s="126" t="str">
        <f>_xlfn.CONCAT(_xlfn.CONCAT(IF(I83="","",_xlfn.CONCAT("FT: ",I83,IF(J83="","","; "))),IF(B83&lt;Datenblatt!$B$9,"",IF(B83="","",IF(NOT(J83=""),SUBSTITUTE(SUBSTITUTE(SUBSTITUTE(J83," mR","")," oR","")," O",""),"")))),IF(AF83="","",_xlfn.CONCAT(CHAR(10),"; ",AF83)))</f>
        <v/>
      </c>
      <c r="AD83" s="124" t="str">
        <f t="shared" ref="AD83:AD112" si="50">IF(SUM(Y83,R83,M83,L83)&lt;=0,"",SUM(Y83,R83,M83,L83))</f>
        <v/>
      </c>
      <c r="AE83" s="19">
        <f t="shared" si="42"/>
        <v>0</v>
      </c>
      <c r="AF83" s="156"/>
    </row>
    <row r="84" spans="1:32" s="9" customFormat="1" ht="13">
      <c r="B84" s="6">
        <f t="shared" si="43"/>
        <v>44623</v>
      </c>
      <c r="C84" s="45">
        <f>SMALL(Daten!W:W,COUNTIF(Daten!W:W,"&lt;"&amp;Stundenaufzeichnung!B84+1))</f>
        <v>44578</v>
      </c>
      <c r="D84" s="45" t="str">
        <f t="shared" si="38"/>
        <v/>
      </c>
      <c r="E84" s="8">
        <f t="shared" si="39"/>
        <v>6</v>
      </c>
      <c r="F84" s="8">
        <f t="shared" si="44"/>
        <v>4</v>
      </c>
      <c r="G84" s="8">
        <f>IF(B84="","",VLOOKUP(E84,Datenblatt!$L$2:$N$8,3,FALSE))</f>
        <v>0</v>
      </c>
      <c r="H84" s="8" t="str">
        <f t="shared" si="45"/>
        <v/>
      </c>
      <c r="I84" s="11" t="str">
        <f>IFERROR(VLOOKUP(B84,Datenblatt!$E:$F,2,FALSE),"")</f>
        <v/>
      </c>
      <c r="J84" s="113"/>
      <c r="K84" s="19">
        <f>IF(B84&lt;Datenblatt!$B$9,"",IF(B84="","",IF(G84=0,Datenblatt!$B$7,"")))</f>
        <v>6.67</v>
      </c>
      <c r="L84" s="19" t="str">
        <f t="shared" si="46"/>
        <v/>
      </c>
      <c r="M84" s="124" t="str">
        <f t="shared" si="47"/>
        <v/>
      </c>
      <c r="N84" s="124" t="str">
        <f>IF(AND(L84=Datenblatt!$B$7,NOT(L83=Datenblatt!$B$7),NOT(L85=Datenblatt!$B$7)),"y",IF(AND(L84=Datenblatt!$B$7,L85=Datenblatt!$B$7,NOT(L83=Datenblatt!$B$7)),"a",IF(AND(L84=Datenblatt!$B$7,L83=Datenblatt!$B$7,NOT(L85=Datenblatt!$B$7)),"b","")))</f>
        <v/>
      </c>
      <c r="O84" s="19" t="str">
        <f t="shared" si="48"/>
        <v/>
      </c>
      <c r="P84" s="124" t="str">
        <f>IF(AND(M84=Datenblatt!$B$7,NOT(M83=Datenblatt!$B$7),NOT(M85=Datenblatt!$B$7)),"y",IF(AND(M84=Datenblatt!$B$7,M85=Datenblatt!$B$7,NOT(M83=Datenblatt!$B$7)),"a",IF(AND(M84=Datenblatt!$B$7,M83=Datenblatt!$B$7,NOT(M85=Datenblatt!$B$7)),"b","")))</f>
        <v/>
      </c>
      <c r="Q84" s="19" t="str">
        <f t="shared" si="49"/>
        <v/>
      </c>
      <c r="R84" s="124" t="str">
        <f>IF(I84="","",IF(AND(OR(J84="Krankenstand",J84="Urlaub",J84=""), AND(G84=0,NOT(I84=""))),Datenblatt!$B$7,""))</f>
        <v/>
      </c>
      <c r="S84" s="19" t="str">
        <f>IF(OR(J84="Krankenstand",J84="Urlaub"),"",IF(J84="","",VLOOKUP(D84,Dienste!C:W,21,)))</f>
        <v/>
      </c>
      <c r="T84" s="18" t="str">
        <f>IF(OR(J84="Krankenstand",J84="Urlaub"),"",IF(J84="","",VLOOKUP(D84,Dienste!C:W,5,)))</f>
        <v/>
      </c>
      <c r="U84" s="18" t="str">
        <f>IF(OR(J84="Krankenstand",J84="Urlaub"),"",IF(J84="","",VLOOKUP(D84,Dienste!C:W,6,)))</f>
        <v/>
      </c>
      <c r="V84" s="18" t="str">
        <f>IF(OR(J84="Krankenstand",J84="Urlaub"),"",IF(J84="","",VLOOKUP(D84,Dienste!C:W,7,)))</f>
        <v/>
      </c>
      <c r="W84" s="18" t="str">
        <f>IF(OR(J84="Krankenstand",J84="Urlaub"),"",IF(J84="","",VLOOKUP(D84,Dienste!C:W,11,)))</f>
        <v/>
      </c>
      <c r="X84" s="18" t="str">
        <f>IF(OR(J84="Krankenstand",J84="Urlaub"),"",IF(J84="","",VLOOKUP(D84,Dienste!C:W,12,)))</f>
        <v/>
      </c>
      <c r="Y84" s="19" t="str">
        <f>IF(OR(J84="Krankenstand",J84="Urlaub"),"",IF(J84="","",VLOOKUP(D84,Dienste!C:W,14,)))</f>
        <v/>
      </c>
      <c r="Z84" s="20" t="str">
        <f>IF(OR(J84="Krankenstand",J84="Urlaub"),"",IF(J84="","",VLOOKUP(D84,Dienste!C:W,15,)))</f>
        <v/>
      </c>
      <c r="AA84" s="124" t="str">
        <f t="shared" si="40"/>
        <v/>
      </c>
      <c r="AB84" s="19" t="str">
        <f t="shared" si="41"/>
        <v/>
      </c>
      <c r="AC84" s="126" t="str">
        <f>_xlfn.CONCAT(_xlfn.CONCAT(IF(I84="","",_xlfn.CONCAT("FT: ",I84,IF(J84="","","; "))),IF(B84&lt;Datenblatt!$B$9,"",IF(B84="","",IF(NOT(J84=""),SUBSTITUTE(SUBSTITUTE(SUBSTITUTE(J84," mR","")," oR","")," O",""),"")))),IF(AF84="","",_xlfn.CONCAT(CHAR(10),"; ",AF84)))</f>
        <v/>
      </c>
      <c r="AD84" s="124" t="str">
        <f t="shared" si="50"/>
        <v/>
      </c>
      <c r="AE84" s="19">
        <f t="shared" si="42"/>
        <v>0</v>
      </c>
      <c r="AF84" s="156"/>
    </row>
    <row r="85" spans="1:32" s="9" customFormat="1" ht="13">
      <c r="B85" s="6">
        <f t="shared" si="43"/>
        <v>44624</v>
      </c>
      <c r="C85" s="45">
        <f>SMALL(Daten!W:W,COUNTIF(Daten!W:W,"&lt;"&amp;Stundenaufzeichnung!B85+1))</f>
        <v>44578</v>
      </c>
      <c r="D85" s="45" t="str">
        <f t="shared" si="38"/>
        <v/>
      </c>
      <c r="E85" s="8">
        <f t="shared" si="39"/>
        <v>7</v>
      </c>
      <c r="F85" s="8">
        <f t="shared" si="44"/>
        <v>5</v>
      </c>
      <c r="G85" s="8">
        <f>IF(B85="","",VLOOKUP(E85,Datenblatt!$L$2:$N$8,3,FALSE))</f>
        <v>0</v>
      </c>
      <c r="H85" s="8" t="str">
        <f t="shared" si="45"/>
        <v/>
      </c>
      <c r="I85" s="11" t="str">
        <f>IFERROR(VLOOKUP(B85,Datenblatt!$E:$F,2,FALSE),"")</f>
        <v/>
      </c>
      <c r="J85" s="113"/>
      <c r="K85" s="19">
        <f>IF(B85&lt;Datenblatt!$B$9,"",IF(B85="","",IF(G85=0,Datenblatt!$B$7,"")))</f>
        <v>6.67</v>
      </c>
      <c r="L85" s="19" t="str">
        <f t="shared" si="46"/>
        <v/>
      </c>
      <c r="M85" s="124" t="str">
        <f t="shared" si="47"/>
        <v/>
      </c>
      <c r="N85" s="124" t="str">
        <f>IF(AND(L85=Datenblatt!$B$7,NOT(L84=Datenblatt!$B$7),NOT(L86=Datenblatt!$B$7)),"y",IF(AND(L85=Datenblatt!$B$7,L86=Datenblatt!$B$7,NOT(L84=Datenblatt!$B$7)),"a",IF(AND(L85=Datenblatt!$B$7,L84=Datenblatt!$B$7,NOT(L86=Datenblatt!$B$7)),"b","")))</f>
        <v/>
      </c>
      <c r="O85" s="19" t="str">
        <f t="shared" si="48"/>
        <v/>
      </c>
      <c r="P85" s="124" t="str">
        <f>IF(AND(M85=Datenblatt!$B$7,NOT(M84=Datenblatt!$B$7),NOT(M86=Datenblatt!$B$7)),"y",IF(AND(M85=Datenblatt!$B$7,M86=Datenblatt!$B$7,NOT(M84=Datenblatt!$B$7)),"a",IF(AND(M85=Datenblatt!$B$7,M84=Datenblatt!$B$7,NOT(M86=Datenblatt!$B$7)),"b","")))</f>
        <v/>
      </c>
      <c r="Q85" s="19" t="str">
        <f t="shared" si="49"/>
        <v/>
      </c>
      <c r="R85" s="124" t="str">
        <f>IF(I85="","",IF(AND(OR(J85="Krankenstand",J85="Urlaub",J85=""), AND(G85=0,NOT(I85=""))),Datenblatt!$B$7,""))</f>
        <v/>
      </c>
      <c r="S85" s="19" t="str">
        <f>IF(OR(J85="Krankenstand",J85="Urlaub"),"",IF(J85="","",VLOOKUP(D85,Dienste!C:W,21,)))</f>
        <v/>
      </c>
      <c r="T85" s="18" t="str">
        <f>IF(OR(J85="Krankenstand",J85="Urlaub"),"",IF(J85="","",VLOOKUP(D85,Dienste!C:W,5,)))</f>
        <v/>
      </c>
      <c r="U85" s="18" t="str">
        <f>IF(OR(J85="Krankenstand",J85="Urlaub"),"",IF(J85="","",VLOOKUP(D85,Dienste!C:W,6,)))</f>
        <v/>
      </c>
      <c r="V85" s="18" t="str">
        <f>IF(OR(J85="Krankenstand",J85="Urlaub"),"",IF(J85="","",VLOOKUP(D85,Dienste!C:W,7,)))</f>
        <v/>
      </c>
      <c r="W85" s="18" t="str">
        <f>IF(OR(J85="Krankenstand",J85="Urlaub"),"",IF(J85="","",VLOOKUP(D85,Dienste!C:W,11,)))</f>
        <v/>
      </c>
      <c r="X85" s="18" t="str">
        <f>IF(OR(J85="Krankenstand",J85="Urlaub"),"",IF(J85="","",VLOOKUP(D85,Dienste!C:W,12,)))</f>
        <v/>
      </c>
      <c r="Y85" s="19" t="str">
        <f>IF(OR(J85="Krankenstand",J85="Urlaub"),"",IF(J85="","",VLOOKUP(D85,Dienste!C:W,14,)))</f>
        <v/>
      </c>
      <c r="Z85" s="20" t="str">
        <f>IF(OR(J85="Krankenstand",J85="Urlaub"),"",IF(J85="","",VLOOKUP(D85,Dienste!C:W,15,)))</f>
        <v/>
      </c>
      <c r="AA85" s="124" t="str">
        <f t="shared" si="40"/>
        <v/>
      </c>
      <c r="AB85" s="19" t="str">
        <f t="shared" si="41"/>
        <v/>
      </c>
      <c r="AC85" s="126" t="str">
        <f>_xlfn.CONCAT(_xlfn.CONCAT(IF(I85="","",_xlfn.CONCAT("FT: ",I85,IF(J85="","","; "))),IF(B85&lt;Datenblatt!$B$9,"",IF(B85="","",IF(NOT(J85=""),SUBSTITUTE(SUBSTITUTE(SUBSTITUTE(J85," mR","")," oR","")," O",""),"")))),IF(AF85="","",_xlfn.CONCAT(CHAR(10),"; ",AF85)))</f>
        <v/>
      </c>
      <c r="AD85" s="124" t="str">
        <f t="shared" si="50"/>
        <v/>
      </c>
      <c r="AE85" s="19">
        <f t="shared" si="42"/>
        <v>0</v>
      </c>
      <c r="AF85" s="156"/>
    </row>
    <row r="86" spans="1:32" s="9" customFormat="1" ht="13">
      <c r="B86" s="6">
        <f t="shared" si="43"/>
        <v>44625</v>
      </c>
      <c r="C86" s="45">
        <f>SMALL(Daten!W:W,COUNTIF(Daten!W:W,"&lt;"&amp;Stundenaufzeichnung!B86+1))</f>
        <v>44578</v>
      </c>
      <c r="D86" s="45" t="str">
        <f t="shared" si="38"/>
        <v/>
      </c>
      <c r="E86" s="8">
        <f t="shared" si="39"/>
        <v>1</v>
      </c>
      <c r="F86" s="8">
        <f t="shared" si="44"/>
        <v>6</v>
      </c>
      <c r="G86" s="8">
        <f>IF(B86="","",VLOOKUP(E86,Datenblatt!$L$2:$N$8,3,FALSE))</f>
        <v>0</v>
      </c>
      <c r="H86" s="8" t="str">
        <f t="shared" si="45"/>
        <v/>
      </c>
      <c r="I86" s="11" t="str">
        <f>IFERROR(VLOOKUP(B86,Datenblatt!$E:$F,2,FALSE),"")</f>
        <v/>
      </c>
      <c r="J86" s="113"/>
      <c r="K86" s="19">
        <f>IF(B86&lt;Datenblatt!$B$9,"",IF(B86="","",IF(G86=0,Datenblatt!$B$7,"")))</f>
        <v>6.67</v>
      </c>
      <c r="L86" s="19" t="str">
        <f t="shared" si="46"/>
        <v/>
      </c>
      <c r="M86" s="124" t="str">
        <f t="shared" si="47"/>
        <v/>
      </c>
      <c r="N86" s="124" t="str">
        <f>IF(AND(L86=Datenblatt!$B$7,NOT(L85=Datenblatt!$B$7),NOT(L87=Datenblatt!$B$7)),"y",IF(AND(L86=Datenblatt!$B$7,L87=Datenblatt!$B$7,NOT(L85=Datenblatt!$B$7)),"a",IF(AND(L86=Datenblatt!$B$7,L85=Datenblatt!$B$7,NOT(L87=Datenblatt!$B$7)),"b","")))</f>
        <v/>
      </c>
      <c r="O86" s="19" t="str">
        <f t="shared" si="48"/>
        <v/>
      </c>
      <c r="P86" s="124" t="str">
        <f>IF(AND(M86=Datenblatt!$B$7,NOT(M85=Datenblatt!$B$7),NOT(M87=Datenblatt!$B$7)),"y",IF(AND(M86=Datenblatt!$B$7,M87=Datenblatt!$B$7,NOT(M85=Datenblatt!$B$7)),"a",IF(AND(M86=Datenblatt!$B$7,M85=Datenblatt!$B$7,NOT(M87=Datenblatt!$B$7)),"b","")))</f>
        <v/>
      </c>
      <c r="Q86" s="19" t="str">
        <f t="shared" si="49"/>
        <v/>
      </c>
      <c r="R86" s="124" t="str">
        <f>IF(I86="","",IF(AND(OR(J86="Krankenstand",J86="Urlaub",J86=""), AND(G86=0,NOT(I86=""))),Datenblatt!$B$7,""))</f>
        <v/>
      </c>
      <c r="S86" s="19" t="str">
        <f>IF(OR(J86="Krankenstand",J86="Urlaub"),"",IF(J86="","",VLOOKUP(D86,Dienste!C:W,21,)))</f>
        <v/>
      </c>
      <c r="T86" s="18" t="str">
        <f>IF(OR(J86="Krankenstand",J86="Urlaub"),"",IF(J86="","",VLOOKUP(D86,Dienste!C:W,5,)))</f>
        <v/>
      </c>
      <c r="U86" s="18" t="str">
        <f>IF(OR(J86="Krankenstand",J86="Urlaub"),"",IF(J86="","",VLOOKUP(D86,Dienste!C:W,6,)))</f>
        <v/>
      </c>
      <c r="V86" s="18" t="str">
        <f>IF(OR(J86="Krankenstand",J86="Urlaub"),"",IF(J86="","",VLOOKUP(D86,Dienste!C:W,7,)))</f>
        <v/>
      </c>
      <c r="W86" s="18" t="str">
        <f>IF(OR(J86="Krankenstand",J86="Urlaub"),"",IF(J86="","",VLOOKUP(D86,Dienste!C:W,11,)))</f>
        <v/>
      </c>
      <c r="X86" s="18" t="str">
        <f>IF(OR(J86="Krankenstand",J86="Urlaub"),"",IF(J86="","",VLOOKUP(D86,Dienste!C:W,12,)))</f>
        <v/>
      </c>
      <c r="Y86" s="19" t="str">
        <f>IF(OR(J86="Krankenstand",J86="Urlaub"),"",IF(J86="","",VLOOKUP(D86,Dienste!C:W,14,)))</f>
        <v/>
      </c>
      <c r="Z86" s="20" t="str">
        <f>IF(OR(J86="Krankenstand",J86="Urlaub"),"",IF(J86="","",VLOOKUP(D86,Dienste!C:W,15,)))</f>
        <v/>
      </c>
      <c r="AA86" s="124" t="str">
        <f t="shared" si="40"/>
        <v/>
      </c>
      <c r="AB86" s="19" t="str">
        <f t="shared" si="41"/>
        <v/>
      </c>
      <c r="AC86" s="126" t="str">
        <f>_xlfn.CONCAT(_xlfn.CONCAT(IF(I86="","",_xlfn.CONCAT("FT: ",I86,IF(J86="","","; "))),IF(B86&lt;Datenblatt!$B$9,"",IF(B86="","",IF(NOT(J86=""),SUBSTITUTE(SUBSTITUTE(SUBSTITUTE(J86," mR","")," oR","")," O",""),"")))),IF(AF86="","",_xlfn.CONCAT(CHAR(10),"; ",AF86)))</f>
        <v/>
      </c>
      <c r="AD86" s="124" t="str">
        <f t="shared" si="50"/>
        <v/>
      </c>
      <c r="AE86" s="19">
        <f t="shared" si="42"/>
        <v>0</v>
      </c>
      <c r="AF86" s="156"/>
    </row>
    <row r="87" spans="1:32" s="9" customFormat="1" ht="13">
      <c r="B87" s="6">
        <f t="shared" si="43"/>
        <v>44626</v>
      </c>
      <c r="C87" s="45">
        <f>SMALL(Daten!W:W,COUNTIF(Daten!W:W,"&lt;"&amp;Stundenaufzeichnung!B87+1))</f>
        <v>44578</v>
      </c>
      <c r="D87" s="45" t="str">
        <f t="shared" si="38"/>
        <v/>
      </c>
      <c r="E87" s="8">
        <f t="shared" si="39"/>
        <v>2</v>
      </c>
      <c r="F87" s="8">
        <f t="shared" si="44"/>
        <v>7</v>
      </c>
      <c r="G87" s="8">
        <f>IF(B87="","",VLOOKUP(E87,Datenblatt!$L$2:$N$8,3,FALSE))</f>
        <v>1</v>
      </c>
      <c r="H87" s="8" t="str">
        <f t="shared" si="45"/>
        <v>x</v>
      </c>
      <c r="I87" s="11" t="str">
        <f>IFERROR(VLOOKUP(B87,Datenblatt!$E:$F,2,FALSE),"")</f>
        <v/>
      </c>
      <c r="J87" s="113"/>
      <c r="K87" s="19" t="str">
        <f>IF(B87&lt;Datenblatt!$B$9,"",IF(B87="","",IF(G87=0,Datenblatt!$B$7,"")))</f>
        <v/>
      </c>
      <c r="L87" s="19" t="str">
        <f t="shared" si="46"/>
        <v/>
      </c>
      <c r="M87" s="124" t="str">
        <f t="shared" si="47"/>
        <v/>
      </c>
      <c r="N87" s="124" t="str">
        <f>IF(AND(L87=Datenblatt!$B$7,NOT(L86=Datenblatt!$B$7),NOT(L88=Datenblatt!$B$7)),"y",IF(AND(L87=Datenblatt!$B$7,L88=Datenblatt!$B$7,NOT(L86=Datenblatt!$B$7)),"a",IF(AND(L87=Datenblatt!$B$7,L86=Datenblatt!$B$7,NOT(L88=Datenblatt!$B$7)),"b","")))</f>
        <v/>
      </c>
      <c r="O87" s="19" t="str">
        <f t="shared" si="48"/>
        <v/>
      </c>
      <c r="P87" s="124" t="str">
        <f>IF(AND(M87=Datenblatt!$B$7,NOT(M86=Datenblatt!$B$7),NOT(M88=Datenblatt!$B$7)),"y",IF(AND(M87=Datenblatt!$B$7,M88=Datenblatt!$B$7,NOT(M86=Datenblatt!$B$7)),"a",IF(AND(M87=Datenblatt!$B$7,M86=Datenblatt!$B$7,NOT(M88=Datenblatt!$B$7)),"b","")))</f>
        <v/>
      </c>
      <c r="Q87" s="19" t="str">
        <f t="shared" si="49"/>
        <v/>
      </c>
      <c r="R87" s="124" t="str">
        <f>IF(I87="","",IF(AND(OR(J87="Krankenstand",J87="Urlaub",J87=""), AND(G87=0,NOT(I87=""))),Datenblatt!$B$7,""))</f>
        <v/>
      </c>
      <c r="S87" s="19" t="str">
        <f>IF(OR(J87="Krankenstand",J87="Urlaub"),"",IF(J87="","",VLOOKUP(D87,Dienste!C:W,21,)))</f>
        <v/>
      </c>
      <c r="T87" s="18" t="str">
        <f>IF(OR(J87="Krankenstand",J87="Urlaub"),"",IF(J87="","",VLOOKUP(D87,Dienste!C:W,5,)))</f>
        <v/>
      </c>
      <c r="U87" s="18" t="str">
        <f>IF(OR(J87="Krankenstand",J87="Urlaub"),"",IF(J87="","",VLOOKUP(D87,Dienste!C:W,6,)))</f>
        <v/>
      </c>
      <c r="V87" s="18" t="str">
        <f>IF(OR(J87="Krankenstand",J87="Urlaub"),"",IF(J87="","",VLOOKUP(D87,Dienste!C:W,7,)))</f>
        <v/>
      </c>
      <c r="W87" s="18" t="str">
        <f>IF(OR(J87="Krankenstand",J87="Urlaub"),"",IF(J87="","",VLOOKUP(D87,Dienste!C:W,11,)))</f>
        <v/>
      </c>
      <c r="X87" s="18" t="str">
        <f>IF(OR(J87="Krankenstand",J87="Urlaub"),"",IF(J87="","",VLOOKUP(D87,Dienste!C:W,12,)))</f>
        <v/>
      </c>
      <c r="Y87" s="19" t="str">
        <f>IF(OR(J87="Krankenstand",J87="Urlaub"),"",IF(J87="","",VLOOKUP(D87,Dienste!C:W,14,)))</f>
        <v/>
      </c>
      <c r="Z87" s="20" t="str">
        <f>IF(OR(J87="Krankenstand",J87="Urlaub"),"",IF(J87="","",VLOOKUP(D87,Dienste!C:W,15,)))</f>
        <v/>
      </c>
      <c r="AA87" s="124" t="str">
        <f t="shared" si="40"/>
        <v/>
      </c>
      <c r="AB87" s="19" t="str">
        <f t="shared" si="41"/>
        <v/>
      </c>
      <c r="AC87" s="126" t="str">
        <f>_xlfn.CONCAT(_xlfn.CONCAT(IF(I87="","",_xlfn.CONCAT("FT: ",I87,IF(J87="","","; "))),IF(B87&lt;Datenblatt!$B$9,"",IF(B87="","",IF(NOT(J87=""),SUBSTITUTE(SUBSTITUTE(SUBSTITUTE(J87," mR","")," oR","")," O",""),"")))),IF(AF87="","",_xlfn.CONCAT(CHAR(10),"; ",AF87)))</f>
        <v/>
      </c>
      <c r="AD87" s="124" t="str">
        <f t="shared" si="50"/>
        <v/>
      </c>
      <c r="AE87" s="19">
        <f t="shared" si="42"/>
        <v>0</v>
      </c>
      <c r="AF87" s="156"/>
    </row>
    <row r="88" spans="1:32" s="9" customFormat="1" ht="13">
      <c r="B88" s="6">
        <f t="shared" si="43"/>
        <v>44627</v>
      </c>
      <c r="C88" s="45">
        <f>SMALL(Daten!W:W,COUNTIF(Daten!W:W,"&lt;"&amp;Stundenaufzeichnung!B88+1))</f>
        <v>44578</v>
      </c>
      <c r="D88" s="45" t="str">
        <f t="shared" si="38"/>
        <v/>
      </c>
      <c r="E88" s="8">
        <f t="shared" si="39"/>
        <v>3</v>
      </c>
      <c r="F88" s="8">
        <f t="shared" si="44"/>
        <v>1</v>
      </c>
      <c r="G88" s="8">
        <f>IF(B88="","",VLOOKUP(E88,Datenblatt!$L$2:$N$8,3,FALSE))</f>
        <v>0</v>
      </c>
      <c r="H88" s="8" t="str">
        <f t="shared" si="45"/>
        <v/>
      </c>
      <c r="I88" s="11" t="str">
        <f>IFERROR(VLOOKUP(B88,Datenblatt!$E:$F,2,FALSE),"")</f>
        <v/>
      </c>
      <c r="J88" s="113"/>
      <c r="K88" s="19">
        <f>IF(B88&lt;Datenblatt!$B$9,"",IF(B88="","",IF(G88=0,Datenblatt!$B$7,"")))</f>
        <v>6.67</v>
      </c>
      <c r="L88" s="19" t="str">
        <f t="shared" si="46"/>
        <v/>
      </c>
      <c r="M88" s="124" t="str">
        <f t="shared" si="47"/>
        <v/>
      </c>
      <c r="N88" s="124" t="str">
        <f>IF(AND(L88=Datenblatt!$B$7,NOT(L87=Datenblatt!$B$7),NOT(L89=Datenblatt!$B$7)),"y",IF(AND(L88=Datenblatt!$B$7,L89=Datenblatt!$B$7,NOT(L87=Datenblatt!$B$7)),"a",IF(AND(L88=Datenblatt!$B$7,L87=Datenblatt!$B$7,NOT(L89=Datenblatt!$B$7)),"b","")))</f>
        <v/>
      </c>
      <c r="O88" s="19" t="str">
        <f t="shared" si="48"/>
        <v/>
      </c>
      <c r="P88" s="124" t="str">
        <f>IF(AND(M88=Datenblatt!$B$7,NOT(M87=Datenblatt!$B$7),NOT(M89=Datenblatt!$B$7)),"y",IF(AND(M88=Datenblatt!$B$7,M89=Datenblatt!$B$7,NOT(M87=Datenblatt!$B$7)),"a",IF(AND(M88=Datenblatt!$B$7,M87=Datenblatt!$B$7,NOT(M89=Datenblatt!$B$7)),"b","")))</f>
        <v/>
      </c>
      <c r="Q88" s="19" t="str">
        <f t="shared" si="49"/>
        <v/>
      </c>
      <c r="R88" s="124" t="str">
        <f>IF(I88="","",IF(AND(OR(J88="Krankenstand",J88="Urlaub",J88=""), AND(G88=0,NOT(I88=""))),Datenblatt!$B$7,""))</f>
        <v/>
      </c>
      <c r="S88" s="19" t="str">
        <f>IF(OR(J88="Krankenstand",J88="Urlaub"),"",IF(J88="","",VLOOKUP(D88,Dienste!C:W,21,)))</f>
        <v/>
      </c>
      <c r="T88" s="18" t="str">
        <f>IF(OR(J88="Krankenstand",J88="Urlaub"),"",IF(J88="","",VLOOKUP(D88,Dienste!C:W,5,)))</f>
        <v/>
      </c>
      <c r="U88" s="18" t="str">
        <f>IF(OR(J88="Krankenstand",J88="Urlaub"),"",IF(J88="","",VLOOKUP(D88,Dienste!C:W,6,)))</f>
        <v/>
      </c>
      <c r="V88" s="18" t="str">
        <f>IF(OR(J88="Krankenstand",J88="Urlaub"),"",IF(J88="","",VLOOKUP(D88,Dienste!C:W,7,)))</f>
        <v/>
      </c>
      <c r="W88" s="18" t="str">
        <f>IF(OR(J88="Krankenstand",J88="Urlaub"),"",IF(J88="","",VLOOKUP(D88,Dienste!C:W,11,)))</f>
        <v/>
      </c>
      <c r="X88" s="18" t="str">
        <f>IF(OR(J88="Krankenstand",J88="Urlaub"),"",IF(J88="","",VLOOKUP(D88,Dienste!C:W,12,)))</f>
        <v/>
      </c>
      <c r="Y88" s="19" t="str">
        <f>IF(OR(J88="Krankenstand",J88="Urlaub"),"",IF(J88="","",VLOOKUP(D88,Dienste!C:W,14,)))</f>
        <v/>
      </c>
      <c r="Z88" s="20" t="str">
        <f>IF(OR(J88="Krankenstand",J88="Urlaub"),"",IF(J88="","",VLOOKUP(D88,Dienste!C:W,15,)))</f>
        <v/>
      </c>
      <c r="AA88" s="124" t="str">
        <f t="shared" si="40"/>
        <v/>
      </c>
      <c r="AB88" s="19" t="str">
        <f t="shared" si="41"/>
        <v/>
      </c>
      <c r="AC88" s="126" t="str">
        <f>_xlfn.CONCAT(_xlfn.CONCAT(IF(I88="","",_xlfn.CONCAT("FT: ",I88,IF(J88="","","; "))),IF(B88&lt;Datenblatt!$B$9,"",IF(B88="","",IF(NOT(J88=""),SUBSTITUTE(SUBSTITUTE(SUBSTITUTE(J88," mR","")," oR","")," O",""),"")))),IF(AF88="","",_xlfn.CONCAT(CHAR(10),"; ",AF88)))</f>
        <v/>
      </c>
      <c r="AD88" s="124" t="str">
        <f t="shared" si="50"/>
        <v/>
      </c>
      <c r="AE88" s="19">
        <f t="shared" si="42"/>
        <v>0</v>
      </c>
      <c r="AF88" s="156"/>
    </row>
    <row r="89" spans="1:32" s="9" customFormat="1" ht="13">
      <c r="B89" s="6">
        <f t="shared" si="43"/>
        <v>44628</v>
      </c>
      <c r="C89" s="45">
        <f>SMALL(Daten!W:W,COUNTIF(Daten!W:W,"&lt;"&amp;Stundenaufzeichnung!B89+1))</f>
        <v>44578</v>
      </c>
      <c r="D89" s="45" t="str">
        <f t="shared" si="38"/>
        <v/>
      </c>
      <c r="E89" s="8">
        <f t="shared" si="39"/>
        <v>4</v>
      </c>
      <c r="F89" s="8">
        <f t="shared" si="44"/>
        <v>2</v>
      </c>
      <c r="G89" s="8">
        <f>IF(B89="","",VLOOKUP(E89,Datenblatt!$L$2:$N$8,3,FALSE))</f>
        <v>0</v>
      </c>
      <c r="H89" s="8" t="str">
        <f t="shared" si="45"/>
        <v/>
      </c>
      <c r="I89" s="11" t="str">
        <f>IFERROR(VLOOKUP(B89,Datenblatt!$E:$F,2,FALSE),"")</f>
        <v/>
      </c>
      <c r="J89" s="113"/>
      <c r="K89" s="19">
        <f>IF(B89&lt;Datenblatt!$B$9,"",IF(B89="","",IF(G89=0,Datenblatt!$B$7,"")))</f>
        <v>6.67</v>
      </c>
      <c r="L89" s="19" t="str">
        <f t="shared" si="46"/>
        <v/>
      </c>
      <c r="M89" s="124" t="str">
        <f t="shared" si="47"/>
        <v/>
      </c>
      <c r="N89" s="124" t="str">
        <f>IF(AND(L89=Datenblatt!$B$7,NOT(L88=Datenblatt!$B$7),NOT(L90=Datenblatt!$B$7)),"y",IF(AND(L89=Datenblatt!$B$7,L90=Datenblatt!$B$7,NOT(L88=Datenblatt!$B$7)),"a",IF(AND(L89=Datenblatt!$B$7,L88=Datenblatt!$B$7,NOT(L90=Datenblatt!$B$7)),"b","")))</f>
        <v/>
      </c>
      <c r="O89" s="19" t="str">
        <f t="shared" si="48"/>
        <v/>
      </c>
      <c r="P89" s="124" t="str">
        <f>IF(AND(M89=Datenblatt!$B$7,NOT(M88=Datenblatt!$B$7),NOT(M90=Datenblatt!$B$7)),"y",IF(AND(M89=Datenblatt!$B$7,M90=Datenblatt!$B$7,NOT(M88=Datenblatt!$B$7)),"a",IF(AND(M89=Datenblatt!$B$7,M88=Datenblatt!$B$7,NOT(M90=Datenblatt!$B$7)),"b","")))</f>
        <v/>
      </c>
      <c r="Q89" s="19" t="str">
        <f t="shared" si="49"/>
        <v/>
      </c>
      <c r="R89" s="124" t="str">
        <f>IF(I89="","",IF(AND(OR(J89="Krankenstand",J89="Urlaub",J89=""), AND(G89=0,NOT(I89=""))),Datenblatt!$B$7,""))</f>
        <v/>
      </c>
      <c r="S89" s="19" t="str">
        <f>IF(OR(J89="Krankenstand",J89="Urlaub"),"",IF(J89="","",VLOOKUP(D89,Dienste!C:W,21,)))</f>
        <v/>
      </c>
      <c r="T89" s="18" t="str">
        <f>IF(OR(J89="Krankenstand",J89="Urlaub"),"",IF(J89="","",VLOOKUP(D89,Dienste!C:W,5,)))</f>
        <v/>
      </c>
      <c r="U89" s="18" t="str">
        <f>IF(OR(J89="Krankenstand",J89="Urlaub"),"",IF(J89="","",VLOOKUP(D89,Dienste!C:W,6,)))</f>
        <v/>
      </c>
      <c r="V89" s="18" t="str">
        <f>IF(OR(J89="Krankenstand",J89="Urlaub"),"",IF(J89="","",VLOOKUP(D89,Dienste!C:W,7,)))</f>
        <v/>
      </c>
      <c r="W89" s="18" t="str">
        <f>IF(OR(J89="Krankenstand",J89="Urlaub"),"",IF(J89="","",VLOOKUP(D89,Dienste!C:W,11,)))</f>
        <v/>
      </c>
      <c r="X89" s="18" t="str">
        <f>IF(OR(J89="Krankenstand",J89="Urlaub"),"",IF(J89="","",VLOOKUP(D89,Dienste!C:W,12,)))</f>
        <v/>
      </c>
      <c r="Y89" s="19" t="str">
        <f>IF(OR(J89="Krankenstand",J89="Urlaub"),"",IF(J89="","",VLOOKUP(D89,Dienste!C:W,14,)))</f>
        <v/>
      </c>
      <c r="Z89" s="20" t="str">
        <f>IF(OR(J89="Krankenstand",J89="Urlaub"),"",IF(J89="","",VLOOKUP(D89,Dienste!C:W,15,)))</f>
        <v/>
      </c>
      <c r="AA89" s="124" t="str">
        <f t="shared" si="40"/>
        <v/>
      </c>
      <c r="AB89" s="19" t="str">
        <f t="shared" si="41"/>
        <v/>
      </c>
      <c r="AC89" s="126" t="str">
        <f>_xlfn.CONCAT(_xlfn.CONCAT(IF(I89="","",_xlfn.CONCAT("FT: ",I89,IF(J89="","","; "))),IF(B89&lt;Datenblatt!$B$9,"",IF(B89="","",IF(NOT(J89=""),SUBSTITUTE(SUBSTITUTE(SUBSTITUTE(J89," mR","")," oR","")," O",""),"")))),IF(AF89="","",_xlfn.CONCAT(CHAR(10),"; ",AF89)))</f>
        <v/>
      </c>
      <c r="AD89" s="124" t="str">
        <f t="shared" si="50"/>
        <v/>
      </c>
      <c r="AE89" s="19">
        <f t="shared" si="42"/>
        <v>0</v>
      </c>
      <c r="AF89" s="156"/>
    </row>
    <row r="90" spans="1:32" s="9" customFormat="1" ht="13">
      <c r="B90" s="6">
        <f t="shared" si="43"/>
        <v>44629</v>
      </c>
      <c r="C90" s="45">
        <f>SMALL(Daten!W:W,COUNTIF(Daten!W:W,"&lt;"&amp;Stundenaufzeichnung!B90+1))</f>
        <v>44578</v>
      </c>
      <c r="D90" s="45" t="str">
        <f t="shared" si="38"/>
        <v/>
      </c>
      <c r="E90" s="8">
        <f t="shared" si="39"/>
        <v>5</v>
      </c>
      <c r="F90" s="8">
        <f t="shared" si="44"/>
        <v>3</v>
      </c>
      <c r="G90" s="8">
        <f>IF(B90="","",VLOOKUP(E90,Datenblatt!$L$2:$N$8,3,FALSE))</f>
        <v>0</v>
      </c>
      <c r="H90" s="8" t="str">
        <f t="shared" si="45"/>
        <v/>
      </c>
      <c r="I90" s="11" t="str">
        <f>IFERROR(VLOOKUP(B90,Datenblatt!$E:$F,2,FALSE),"")</f>
        <v/>
      </c>
      <c r="J90" s="113"/>
      <c r="K90" s="19">
        <f>IF(B90&lt;Datenblatt!$B$9,"",IF(B90="","",IF(G90=0,Datenblatt!$B$7,"")))</f>
        <v>6.67</v>
      </c>
      <c r="L90" s="19" t="str">
        <f t="shared" si="46"/>
        <v/>
      </c>
      <c r="M90" s="124" t="str">
        <f t="shared" si="47"/>
        <v/>
      </c>
      <c r="N90" s="124" t="str">
        <f>IF(AND(L90=Datenblatt!$B$7,NOT(L89=Datenblatt!$B$7),NOT(L91=Datenblatt!$B$7)),"y",IF(AND(L90=Datenblatt!$B$7,L91=Datenblatt!$B$7,NOT(L89=Datenblatt!$B$7)),"a",IF(AND(L90=Datenblatt!$B$7,L89=Datenblatt!$B$7,NOT(L91=Datenblatt!$B$7)),"b","")))</f>
        <v/>
      </c>
      <c r="O90" s="19" t="str">
        <f t="shared" si="48"/>
        <v/>
      </c>
      <c r="P90" s="124" t="str">
        <f>IF(AND(M90=Datenblatt!$B$7,NOT(M89=Datenblatt!$B$7),NOT(M91=Datenblatt!$B$7)),"y",IF(AND(M90=Datenblatt!$B$7,M91=Datenblatt!$B$7,NOT(M89=Datenblatt!$B$7)),"a",IF(AND(M90=Datenblatt!$B$7,M89=Datenblatt!$B$7,NOT(M91=Datenblatt!$B$7)),"b","")))</f>
        <v/>
      </c>
      <c r="Q90" s="19" t="str">
        <f t="shared" si="49"/>
        <v/>
      </c>
      <c r="R90" s="124" t="str">
        <f>IF(I90="","",IF(AND(OR(J90="Krankenstand",J90="Urlaub",J90=""), AND(G90=0,NOT(I90=""))),Datenblatt!$B$7,""))</f>
        <v/>
      </c>
      <c r="S90" s="19" t="str">
        <f>IF(OR(J90="Krankenstand",J90="Urlaub"),"",IF(J90="","",VLOOKUP(D90,Dienste!C:W,21,)))</f>
        <v/>
      </c>
      <c r="T90" s="18" t="str">
        <f>IF(OR(J90="Krankenstand",J90="Urlaub"),"",IF(J90="","",VLOOKUP(D90,Dienste!C:W,5,)))</f>
        <v/>
      </c>
      <c r="U90" s="18" t="str">
        <f>IF(OR(J90="Krankenstand",J90="Urlaub"),"",IF(J90="","",VLOOKUP(D90,Dienste!C:W,6,)))</f>
        <v/>
      </c>
      <c r="V90" s="18" t="str">
        <f>IF(OR(J90="Krankenstand",J90="Urlaub"),"",IF(J90="","",VLOOKUP(D90,Dienste!C:W,7,)))</f>
        <v/>
      </c>
      <c r="W90" s="18" t="str">
        <f>IF(OR(J90="Krankenstand",J90="Urlaub"),"",IF(J90="","",VLOOKUP(D90,Dienste!C:W,11,)))</f>
        <v/>
      </c>
      <c r="X90" s="18" t="str">
        <f>IF(OR(J90="Krankenstand",J90="Urlaub"),"",IF(J90="","",VLOOKUP(D90,Dienste!C:W,12,)))</f>
        <v/>
      </c>
      <c r="Y90" s="19" t="str">
        <f>IF(OR(J90="Krankenstand",J90="Urlaub"),"",IF(J90="","",VLOOKUP(D90,Dienste!C:W,14,)))</f>
        <v/>
      </c>
      <c r="Z90" s="20" t="str">
        <f>IF(OR(J90="Krankenstand",J90="Urlaub"),"",IF(J90="","",VLOOKUP(D90,Dienste!C:W,15,)))</f>
        <v/>
      </c>
      <c r="AA90" s="124" t="str">
        <f t="shared" si="40"/>
        <v/>
      </c>
      <c r="AB90" s="19" t="str">
        <f t="shared" si="41"/>
        <v/>
      </c>
      <c r="AC90" s="126" t="str">
        <f>_xlfn.CONCAT(_xlfn.CONCAT(IF(I90="","",_xlfn.CONCAT("FT: ",I90,IF(J90="","","; "))),IF(B90&lt;Datenblatt!$B$9,"",IF(B90="","",IF(NOT(J90=""),SUBSTITUTE(SUBSTITUTE(SUBSTITUTE(J90," mR","")," oR","")," O",""),"")))),IF(AF90="","",_xlfn.CONCAT(CHAR(10),"; ",AF90)))</f>
        <v/>
      </c>
      <c r="AD90" s="124" t="str">
        <f t="shared" si="50"/>
        <v/>
      </c>
      <c r="AE90" s="19">
        <f t="shared" si="42"/>
        <v>0</v>
      </c>
      <c r="AF90" s="156"/>
    </row>
    <row r="91" spans="1:32" s="9" customFormat="1" ht="13">
      <c r="B91" s="6">
        <f t="shared" si="43"/>
        <v>44630</v>
      </c>
      <c r="C91" s="45">
        <f>SMALL(Daten!W:W,COUNTIF(Daten!W:W,"&lt;"&amp;Stundenaufzeichnung!B91+1))</f>
        <v>44578</v>
      </c>
      <c r="D91" s="45" t="str">
        <f t="shared" si="38"/>
        <v/>
      </c>
      <c r="E91" s="8">
        <f t="shared" si="39"/>
        <v>6</v>
      </c>
      <c r="F91" s="8">
        <f t="shared" si="44"/>
        <v>4</v>
      </c>
      <c r="G91" s="8">
        <f>IF(B91="","",VLOOKUP(E91,Datenblatt!$L$2:$N$8,3,FALSE))</f>
        <v>0</v>
      </c>
      <c r="H91" s="8" t="str">
        <f t="shared" si="45"/>
        <v/>
      </c>
      <c r="I91" s="11" t="str">
        <f>IFERROR(VLOOKUP(B91,Datenblatt!$E:$F,2,FALSE),"")</f>
        <v/>
      </c>
      <c r="J91" s="113"/>
      <c r="K91" s="19">
        <f>IF(B91&lt;Datenblatt!$B$9,"",IF(B91="","",IF(G91=0,Datenblatt!$B$7,"")))</f>
        <v>6.67</v>
      </c>
      <c r="L91" s="19" t="str">
        <f t="shared" si="46"/>
        <v/>
      </c>
      <c r="M91" s="124" t="str">
        <f t="shared" si="47"/>
        <v/>
      </c>
      <c r="N91" s="124" t="str">
        <f>IF(AND(L91=Datenblatt!$B$7,NOT(L90=Datenblatt!$B$7),NOT(L92=Datenblatt!$B$7)),"y",IF(AND(L91=Datenblatt!$B$7,L92=Datenblatt!$B$7,NOT(L90=Datenblatt!$B$7)),"a",IF(AND(L91=Datenblatt!$B$7,L90=Datenblatt!$B$7,NOT(L92=Datenblatt!$B$7)),"b","")))</f>
        <v/>
      </c>
      <c r="O91" s="19" t="str">
        <f t="shared" si="48"/>
        <v/>
      </c>
      <c r="P91" s="124" t="str">
        <f>IF(AND(M91=Datenblatt!$B$7,NOT(M90=Datenblatt!$B$7),NOT(M92=Datenblatt!$B$7)),"y",IF(AND(M91=Datenblatt!$B$7,M92=Datenblatt!$B$7,NOT(M90=Datenblatt!$B$7)),"a",IF(AND(M91=Datenblatt!$B$7,M90=Datenblatt!$B$7,NOT(M92=Datenblatt!$B$7)),"b","")))</f>
        <v/>
      </c>
      <c r="Q91" s="19" t="str">
        <f t="shared" si="49"/>
        <v/>
      </c>
      <c r="R91" s="124" t="str">
        <f>IF(I91="","",IF(AND(OR(J91="Krankenstand",J91="Urlaub",J91=""), AND(G91=0,NOT(I91=""))),Datenblatt!$B$7,""))</f>
        <v/>
      </c>
      <c r="S91" s="19" t="str">
        <f>IF(OR(J91="Krankenstand",J91="Urlaub"),"",IF(J91="","",VLOOKUP(D91,Dienste!C:W,21,)))</f>
        <v/>
      </c>
      <c r="T91" s="18" t="str">
        <f>IF(OR(J91="Krankenstand",J91="Urlaub"),"",IF(J91="","",VLOOKUP(D91,Dienste!C:W,5,)))</f>
        <v/>
      </c>
      <c r="U91" s="18" t="str">
        <f>IF(OR(J91="Krankenstand",J91="Urlaub"),"",IF(J91="","",VLOOKUP(D91,Dienste!C:W,6,)))</f>
        <v/>
      </c>
      <c r="V91" s="18" t="str">
        <f>IF(OR(J91="Krankenstand",J91="Urlaub"),"",IF(J91="","",VLOOKUP(D91,Dienste!C:W,7,)))</f>
        <v/>
      </c>
      <c r="W91" s="18" t="str">
        <f>IF(OR(J91="Krankenstand",J91="Urlaub"),"",IF(J91="","",VLOOKUP(D91,Dienste!C:W,11,)))</f>
        <v/>
      </c>
      <c r="X91" s="18" t="str">
        <f>IF(OR(J91="Krankenstand",J91="Urlaub"),"",IF(J91="","",VLOOKUP(D91,Dienste!C:W,12,)))</f>
        <v/>
      </c>
      <c r="Y91" s="19" t="str">
        <f>IF(OR(J91="Krankenstand",J91="Urlaub"),"",IF(J91="","",VLOOKUP(D91,Dienste!C:W,14,)))</f>
        <v/>
      </c>
      <c r="Z91" s="20" t="str">
        <f>IF(OR(J91="Krankenstand",J91="Urlaub"),"",IF(J91="","",VLOOKUP(D91,Dienste!C:W,15,)))</f>
        <v/>
      </c>
      <c r="AA91" s="124" t="str">
        <f t="shared" si="40"/>
        <v/>
      </c>
      <c r="AB91" s="19" t="str">
        <f t="shared" si="41"/>
        <v/>
      </c>
      <c r="AC91" s="126" t="str">
        <f>_xlfn.CONCAT(_xlfn.CONCAT(IF(I91="","",_xlfn.CONCAT("FT: ",I91,IF(J91="","","; "))),IF(B91&lt;Datenblatt!$B$9,"",IF(B91="","",IF(NOT(J91=""),SUBSTITUTE(SUBSTITUTE(SUBSTITUTE(J91," mR","")," oR","")," O",""),"")))),IF(AF91="","",_xlfn.CONCAT(CHAR(10),"; ",AF91)))</f>
        <v/>
      </c>
      <c r="AD91" s="124" t="str">
        <f t="shared" si="50"/>
        <v/>
      </c>
      <c r="AE91" s="19">
        <f t="shared" si="42"/>
        <v>0</v>
      </c>
      <c r="AF91" s="156"/>
    </row>
    <row r="92" spans="1:32" s="9" customFormat="1" ht="13">
      <c r="B92" s="6">
        <f t="shared" si="43"/>
        <v>44631</v>
      </c>
      <c r="C92" s="45">
        <f>SMALL(Daten!W:W,COUNTIF(Daten!W:W,"&lt;"&amp;Stundenaufzeichnung!B92+1))</f>
        <v>44578</v>
      </c>
      <c r="D92" s="45" t="str">
        <f t="shared" si="38"/>
        <v/>
      </c>
      <c r="E92" s="8">
        <f t="shared" si="39"/>
        <v>7</v>
      </c>
      <c r="F92" s="8">
        <f t="shared" si="44"/>
        <v>5</v>
      </c>
      <c r="G92" s="8">
        <f>IF(B92="","",VLOOKUP(E92,Datenblatt!$L$2:$N$8,3,FALSE))</f>
        <v>0</v>
      </c>
      <c r="H92" s="8" t="str">
        <f t="shared" si="45"/>
        <v/>
      </c>
      <c r="I92" s="11" t="str">
        <f>IFERROR(VLOOKUP(B92,Datenblatt!$E:$F,2,FALSE),"")</f>
        <v/>
      </c>
      <c r="J92" s="113"/>
      <c r="K92" s="19">
        <f>IF(B92&lt;Datenblatt!$B$9,"",IF(B92="","",IF(G92=0,Datenblatt!$B$7,"")))</f>
        <v>6.67</v>
      </c>
      <c r="L92" s="19" t="str">
        <f t="shared" si="46"/>
        <v/>
      </c>
      <c r="M92" s="124" t="str">
        <f t="shared" si="47"/>
        <v/>
      </c>
      <c r="N92" s="124" t="str">
        <f>IF(AND(L92=Datenblatt!$B$7,NOT(L91=Datenblatt!$B$7),NOT(L93=Datenblatt!$B$7)),"y",IF(AND(L92=Datenblatt!$B$7,L93=Datenblatt!$B$7,NOT(L91=Datenblatt!$B$7)),"a",IF(AND(L92=Datenblatt!$B$7,L91=Datenblatt!$B$7,NOT(L93=Datenblatt!$B$7)),"b","")))</f>
        <v/>
      </c>
      <c r="O92" s="19" t="str">
        <f t="shared" si="48"/>
        <v/>
      </c>
      <c r="P92" s="124" t="str">
        <f>IF(AND(M92=Datenblatt!$B$7,NOT(M91=Datenblatt!$B$7),NOT(M93=Datenblatt!$B$7)),"y",IF(AND(M92=Datenblatt!$B$7,M93=Datenblatt!$B$7,NOT(M91=Datenblatt!$B$7)),"a",IF(AND(M92=Datenblatt!$B$7,M91=Datenblatt!$B$7,NOT(M93=Datenblatt!$B$7)),"b","")))</f>
        <v/>
      </c>
      <c r="Q92" s="19" t="str">
        <f t="shared" si="49"/>
        <v/>
      </c>
      <c r="R92" s="124" t="str">
        <f>IF(I92="","",IF(AND(OR(J92="Krankenstand",J92="Urlaub",J92=""), AND(G92=0,NOT(I92=""))),Datenblatt!$B$7,""))</f>
        <v/>
      </c>
      <c r="S92" s="19" t="str">
        <f>IF(OR(J92="Krankenstand",J92="Urlaub"),"",IF(J92="","",VLOOKUP(D92,Dienste!C:W,21,)))</f>
        <v/>
      </c>
      <c r="T92" s="18" t="str">
        <f>IF(OR(J92="Krankenstand",J92="Urlaub"),"",IF(J92="","",VLOOKUP(D92,Dienste!C:W,5,)))</f>
        <v/>
      </c>
      <c r="U92" s="18" t="str">
        <f>IF(OR(J92="Krankenstand",J92="Urlaub"),"",IF(J92="","",VLOOKUP(D92,Dienste!C:W,6,)))</f>
        <v/>
      </c>
      <c r="V92" s="18" t="str">
        <f>IF(OR(J92="Krankenstand",J92="Urlaub"),"",IF(J92="","",VLOOKUP(D92,Dienste!C:W,7,)))</f>
        <v/>
      </c>
      <c r="W92" s="18" t="str">
        <f>IF(OR(J92="Krankenstand",J92="Urlaub"),"",IF(J92="","",VLOOKUP(D92,Dienste!C:W,11,)))</f>
        <v/>
      </c>
      <c r="X92" s="18" t="str">
        <f>IF(OR(J92="Krankenstand",J92="Urlaub"),"",IF(J92="","",VLOOKUP(D92,Dienste!C:W,12,)))</f>
        <v/>
      </c>
      <c r="Y92" s="19" t="str">
        <f>IF(OR(J92="Krankenstand",J92="Urlaub"),"",IF(J92="","",VLOOKUP(D92,Dienste!C:W,14,)))</f>
        <v/>
      </c>
      <c r="Z92" s="20" t="str">
        <f>IF(OR(J92="Krankenstand",J92="Urlaub"),"",IF(J92="","",VLOOKUP(D92,Dienste!C:W,15,)))</f>
        <v/>
      </c>
      <c r="AA92" s="124" t="str">
        <f t="shared" si="40"/>
        <v/>
      </c>
      <c r="AB92" s="19" t="str">
        <f t="shared" si="41"/>
        <v/>
      </c>
      <c r="AC92" s="126" t="str">
        <f>_xlfn.CONCAT(_xlfn.CONCAT(IF(I92="","",_xlfn.CONCAT("FT: ",I92,IF(J92="","","; "))),IF(B92&lt;Datenblatt!$B$9,"",IF(B92="","",IF(NOT(J92=""),SUBSTITUTE(SUBSTITUTE(SUBSTITUTE(J92," mR","")," oR","")," O",""),"")))),IF(AF92="","",_xlfn.CONCAT(CHAR(10),"; ",AF92)))</f>
        <v/>
      </c>
      <c r="AD92" s="124" t="str">
        <f t="shared" si="50"/>
        <v/>
      </c>
      <c r="AE92" s="19">
        <f t="shared" si="42"/>
        <v>0</v>
      </c>
      <c r="AF92" s="156"/>
    </row>
    <row r="93" spans="1:32" s="9" customFormat="1" ht="13">
      <c r="B93" s="6">
        <f t="shared" si="43"/>
        <v>44632</v>
      </c>
      <c r="C93" s="45">
        <f>SMALL(Daten!W:W,COUNTIF(Daten!W:W,"&lt;"&amp;Stundenaufzeichnung!B93+1))</f>
        <v>44578</v>
      </c>
      <c r="D93" s="45" t="str">
        <f t="shared" si="38"/>
        <v/>
      </c>
      <c r="E93" s="8">
        <f t="shared" si="39"/>
        <v>1</v>
      </c>
      <c r="F93" s="8">
        <f t="shared" si="44"/>
        <v>6</v>
      </c>
      <c r="G93" s="8">
        <f>IF(B93="","",VLOOKUP(E93,Datenblatt!$L$2:$N$8,3,FALSE))</f>
        <v>0</v>
      </c>
      <c r="H93" s="8" t="str">
        <f t="shared" si="45"/>
        <v/>
      </c>
      <c r="I93" s="11" t="str">
        <f>IFERROR(VLOOKUP(B93,Datenblatt!$E:$F,2,FALSE),"")</f>
        <v/>
      </c>
      <c r="J93" s="113"/>
      <c r="K93" s="19">
        <f>IF(B93&lt;Datenblatt!$B$9,"",IF(B93="","",IF(G93=0,Datenblatt!$B$7,"")))</f>
        <v>6.67</v>
      </c>
      <c r="L93" s="19" t="str">
        <f t="shared" si="46"/>
        <v/>
      </c>
      <c r="M93" s="124" t="str">
        <f t="shared" si="47"/>
        <v/>
      </c>
      <c r="N93" s="124" t="str">
        <f>IF(AND(L93=Datenblatt!$B$7,NOT(L92=Datenblatt!$B$7),NOT(L94=Datenblatt!$B$7)),"y",IF(AND(L93=Datenblatt!$B$7,L94=Datenblatt!$B$7,NOT(L92=Datenblatt!$B$7)),"a",IF(AND(L93=Datenblatt!$B$7,L92=Datenblatt!$B$7,NOT(L94=Datenblatt!$B$7)),"b","")))</f>
        <v/>
      </c>
      <c r="O93" s="19" t="str">
        <f t="shared" si="48"/>
        <v/>
      </c>
      <c r="P93" s="124" t="str">
        <f>IF(AND(M93=Datenblatt!$B$7,NOT(M92=Datenblatt!$B$7),NOT(M94=Datenblatt!$B$7)),"y",IF(AND(M93=Datenblatt!$B$7,M94=Datenblatt!$B$7,NOT(M92=Datenblatt!$B$7)),"a",IF(AND(M93=Datenblatt!$B$7,M92=Datenblatt!$B$7,NOT(M94=Datenblatt!$B$7)),"b","")))</f>
        <v/>
      </c>
      <c r="Q93" s="19" t="str">
        <f t="shared" si="49"/>
        <v/>
      </c>
      <c r="R93" s="124" t="str">
        <f>IF(I93="","",IF(AND(OR(J93="Krankenstand",J93="Urlaub",J93=""), AND(G93=0,NOT(I93=""))),Datenblatt!$B$7,""))</f>
        <v/>
      </c>
      <c r="S93" s="19" t="str">
        <f>IF(OR(J93="Krankenstand",J93="Urlaub"),"",IF(J93="","",VLOOKUP(D93,Dienste!C:W,21,)))</f>
        <v/>
      </c>
      <c r="T93" s="18" t="str">
        <f>IF(OR(J93="Krankenstand",J93="Urlaub"),"",IF(J93="","",VLOOKUP(D93,Dienste!C:W,5,)))</f>
        <v/>
      </c>
      <c r="U93" s="18" t="str">
        <f>IF(OR(J93="Krankenstand",J93="Urlaub"),"",IF(J93="","",VLOOKUP(D93,Dienste!C:W,6,)))</f>
        <v/>
      </c>
      <c r="V93" s="18" t="str">
        <f>IF(OR(J93="Krankenstand",J93="Urlaub"),"",IF(J93="","",VLOOKUP(D93,Dienste!C:W,7,)))</f>
        <v/>
      </c>
      <c r="W93" s="18" t="str">
        <f>IF(OR(J93="Krankenstand",J93="Urlaub"),"",IF(J93="","",VLOOKUP(D93,Dienste!C:W,11,)))</f>
        <v/>
      </c>
      <c r="X93" s="18" t="str">
        <f>IF(OR(J93="Krankenstand",J93="Urlaub"),"",IF(J93="","",VLOOKUP(D93,Dienste!C:W,12,)))</f>
        <v/>
      </c>
      <c r="Y93" s="19" t="str">
        <f>IF(OR(J93="Krankenstand",J93="Urlaub"),"",IF(J93="","",VLOOKUP(D93,Dienste!C:W,14,)))</f>
        <v/>
      </c>
      <c r="Z93" s="20" t="str">
        <f>IF(OR(J93="Krankenstand",J93="Urlaub"),"",IF(J93="","",VLOOKUP(D93,Dienste!C:W,15,)))</f>
        <v/>
      </c>
      <c r="AA93" s="124" t="str">
        <f t="shared" si="40"/>
        <v/>
      </c>
      <c r="AB93" s="19" t="str">
        <f t="shared" si="41"/>
        <v/>
      </c>
      <c r="AC93" s="126" t="str">
        <f>_xlfn.CONCAT(_xlfn.CONCAT(IF(I93="","",_xlfn.CONCAT("FT: ",I93,IF(J93="","","; "))),IF(B93&lt;Datenblatt!$B$9,"",IF(B93="","",IF(NOT(J93=""),SUBSTITUTE(SUBSTITUTE(SUBSTITUTE(J93," mR","")," oR","")," O",""),"")))),IF(AF93="","",_xlfn.CONCAT(CHAR(10),"; ",AF93)))</f>
        <v/>
      </c>
      <c r="AD93" s="124" t="str">
        <f t="shared" si="50"/>
        <v/>
      </c>
      <c r="AE93" s="19">
        <f t="shared" si="42"/>
        <v>0</v>
      </c>
      <c r="AF93" s="156"/>
    </row>
    <row r="94" spans="1:32" s="9" customFormat="1" ht="13">
      <c r="B94" s="6">
        <f t="shared" si="43"/>
        <v>44633</v>
      </c>
      <c r="C94" s="45">
        <f>SMALL(Daten!W:W,COUNTIF(Daten!W:W,"&lt;"&amp;Stundenaufzeichnung!B94+1))</f>
        <v>44578</v>
      </c>
      <c r="D94" s="45" t="str">
        <f t="shared" si="38"/>
        <v/>
      </c>
      <c r="E94" s="8">
        <f t="shared" si="39"/>
        <v>2</v>
      </c>
      <c r="F94" s="8">
        <f t="shared" si="44"/>
        <v>7</v>
      </c>
      <c r="G94" s="8">
        <f>IF(B94="","",VLOOKUP(E94,Datenblatt!$L$2:$N$8,3,FALSE))</f>
        <v>1</v>
      </c>
      <c r="H94" s="8" t="str">
        <f t="shared" si="45"/>
        <v>x</v>
      </c>
      <c r="I94" s="11" t="str">
        <f>IFERROR(VLOOKUP(B94,Datenblatt!$E:$F,2,FALSE),"")</f>
        <v/>
      </c>
      <c r="J94" s="113"/>
      <c r="K94" s="19" t="str">
        <f>IF(B94&lt;Datenblatt!$B$9,"",IF(B94="","",IF(G94=0,Datenblatt!$B$7,"")))</f>
        <v/>
      </c>
      <c r="L94" s="19" t="str">
        <f t="shared" si="46"/>
        <v/>
      </c>
      <c r="M94" s="124" t="str">
        <f t="shared" si="47"/>
        <v/>
      </c>
      <c r="N94" s="124" t="str">
        <f>IF(AND(L94=Datenblatt!$B$7,NOT(L93=Datenblatt!$B$7),NOT(L95=Datenblatt!$B$7)),"y",IF(AND(L94=Datenblatt!$B$7,L95=Datenblatt!$B$7,NOT(L93=Datenblatt!$B$7)),"a",IF(AND(L94=Datenblatt!$B$7,L93=Datenblatt!$B$7,NOT(L95=Datenblatt!$B$7)),"b","")))</f>
        <v/>
      </c>
      <c r="O94" s="19" t="str">
        <f t="shared" si="48"/>
        <v/>
      </c>
      <c r="P94" s="124" t="str">
        <f>IF(AND(M94=Datenblatt!$B$7,NOT(M93=Datenblatt!$B$7),NOT(M95=Datenblatt!$B$7)),"y",IF(AND(M94=Datenblatt!$B$7,M95=Datenblatt!$B$7,NOT(M93=Datenblatt!$B$7)),"a",IF(AND(M94=Datenblatt!$B$7,M93=Datenblatt!$B$7,NOT(M95=Datenblatt!$B$7)),"b","")))</f>
        <v/>
      </c>
      <c r="Q94" s="19" t="str">
        <f t="shared" si="49"/>
        <v/>
      </c>
      <c r="R94" s="124" t="str">
        <f>IF(I94="","",IF(AND(OR(J94="Krankenstand",J94="Urlaub",J94=""), AND(G94=0,NOT(I94=""))),Datenblatt!$B$7,""))</f>
        <v/>
      </c>
      <c r="S94" s="19" t="str">
        <f>IF(OR(J94="Krankenstand",J94="Urlaub"),"",IF(J94="","",VLOOKUP(D94,Dienste!C:W,21,)))</f>
        <v/>
      </c>
      <c r="T94" s="18" t="str">
        <f>IF(OR(J94="Krankenstand",J94="Urlaub"),"",IF(J94="","",VLOOKUP(D94,Dienste!C:W,5,)))</f>
        <v/>
      </c>
      <c r="U94" s="18" t="str">
        <f>IF(OR(J94="Krankenstand",J94="Urlaub"),"",IF(J94="","",VLOOKUP(D94,Dienste!C:W,6,)))</f>
        <v/>
      </c>
      <c r="V94" s="18" t="str">
        <f>IF(OR(J94="Krankenstand",J94="Urlaub"),"",IF(J94="","",VLOOKUP(D94,Dienste!C:W,7,)))</f>
        <v/>
      </c>
      <c r="W94" s="18" t="str">
        <f>IF(OR(J94="Krankenstand",J94="Urlaub"),"",IF(J94="","",VLOOKUP(D94,Dienste!C:W,11,)))</f>
        <v/>
      </c>
      <c r="X94" s="18" t="str">
        <f>IF(OR(J94="Krankenstand",J94="Urlaub"),"",IF(J94="","",VLOOKUP(D94,Dienste!C:W,12,)))</f>
        <v/>
      </c>
      <c r="Y94" s="19" t="str">
        <f>IF(OR(J94="Krankenstand",J94="Urlaub"),"",IF(J94="","",VLOOKUP(D94,Dienste!C:W,14,)))</f>
        <v/>
      </c>
      <c r="Z94" s="20" t="str">
        <f>IF(OR(J94="Krankenstand",J94="Urlaub"),"",IF(J94="","",VLOOKUP(D94,Dienste!C:W,15,)))</f>
        <v/>
      </c>
      <c r="AA94" s="124" t="str">
        <f t="shared" si="40"/>
        <v/>
      </c>
      <c r="AB94" s="19" t="str">
        <f t="shared" si="41"/>
        <v/>
      </c>
      <c r="AC94" s="126" t="str">
        <f>_xlfn.CONCAT(_xlfn.CONCAT(IF(I94="","",_xlfn.CONCAT("FT: ",I94,IF(J94="","","; "))),IF(B94&lt;Datenblatt!$B$9,"",IF(B94="","",IF(NOT(J94=""),SUBSTITUTE(SUBSTITUTE(SUBSTITUTE(J94," mR","")," oR","")," O",""),"")))),IF(AF94="","",_xlfn.CONCAT(CHAR(10),"; ",AF94)))</f>
        <v/>
      </c>
      <c r="AD94" s="124" t="str">
        <f t="shared" si="50"/>
        <v/>
      </c>
      <c r="AE94" s="19">
        <f t="shared" si="42"/>
        <v>0</v>
      </c>
      <c r="AF94" s="156"/>
    </row>
    <row r="95" spans="1:32" s="9" customFormat="1" ht="13">
      <c r="B95" s="6">
        <f t="shared" si="43"/>
        <v>44634</v>
      </c>
      <c r="C95" s="45">
        <f>SMALL(Daten!W:W,COUNTIF(Daten!W:W,"&lt;"&amp;Stundenaufzeichnung!B95+1))</f>
        <v>44578</v>
      </c>
      <c r="D95" s="45" t="str">
        <f t="shared" si="38"/>
        <v/>
      </c>
      <c r="E95" s="8">
        <f t="shared" si="39"/>
        <v>3</v>
      </c>
      <c r="F95" s="8">
        <f t="shared" si="44"/>
        <v>1</v>
      </c>
      <c r="G95" s="8">
        <f>IF(B95="","",VLOOKUP(E95,Datenblatt!$L$2:$N$8,3,FALSE))</f>
        <v>0</v>
      </c>
      <c r="H95" s="8" t="str">
        <f t="shared" si="45"/>
        <v/>
      </c>
      <c r="I95" s="11" t="str">
        <f>IFERROR(VLOOKUP(B95,Datenblatt!$E:$F,2,FALSE),"")</f>
        <v/>
      </c>
      <c r="J95" s="113"/>
      <c r="K95" s="19">
        <f>IF(B95&lt;Datenblatt!$B$9,"",IF(B95="","",IF(G95=0,Datenblatt!$B$7,"")))</f>
        <v>6.67</v>
      </c>
      <c r="L95" s="19" t="str">
        <f t="shared" si="46"/>
        <v/>
      </c>
      <c r="M95" s="124" t="str">
        <f t="shared" si="47"/>
        <v/>
      </c>
      <c r="N95" s="124" t="str">
        <f>IF(AND(L95=Datenblatt!$B$7,NOT(L94=Datenblatt!$B$7),NOT(L96=Datenblatt!$B$7)),"y",IF(AND(L95=Datenblatt!$B$7,L96=Datenblatt!$B$7,NOT(L94=Datenblatt!$B$7)),"a",IF(AND(L95=Datenblatt!$B$7,L94=Datenblatt!$B$7,NOT(L96=Datenblatt!$B$7)),"b","")))</f>
        <v/>
      </c>
      <c r="O95" s="19" t="str">
        <f t="shared" si="48"/>
        <v/>
      </c>
      <c r="P95" s="124" t="str">
        <f>IF(AND(M95=Datenblatt!$B$7,NOT(M94=Datenblatt!$B$7),NOT(M96=Datenblatt!$B$7)),"y",IF(AND(M95=Datenblatt!$B$7,M96=Datenblatt!$B$7,NOT(M94=Datenblatt!$B$7)),"a",IF(AND(M95=Datenblatt!$B$7,M94=Datenblatt!$B$7,NOT(M96=Datenblatt!$B$7)),"b","")))</f>
        <v/>
      </c>
      <c r="Q95" s="19" t="str">
        <f t="shared" si="49"/>
        <v/>
      </c>
      <c r="R95" s="124" t="str">
        <f>IF(I95="","",IF(AND(OR(J95="Krankenstand",J95="Urlaub",J95=""), AND(G95=0,NOT(I95=""))),Datenblatt!$B$7,""))</f>
        <v/>
      </c>
      <c r="S95" s="19" t="str">
        <f>IF(OR(J95="Krankenstand",J95="Urlaub"),"",IF(J95="","",VLOOKUP(D95,Dienste!C:W,21,)))</f>
        <v/>
      </c>
      <c r="T95" s="18" t="str">
        <f>IF(OR(J95="Krankenstand",J95="Urlaub"),"",IF(J95="","",VLOOKUP(D95,Dienste!C:W,5,)))</f>
        <v/>
      </c>
      <c r="U95" s="18" t="str">
        <f>IF(OR(J95="Krankenstand",J95="Urlaub"),"",IF(J95="","",VLOOKUP(D95,Dienste!C:W,6,)))</f>
        <v/>
      </c>
      <c r="V95" s="18" t="str">
        <f>IF(OR(J95="Krankenstand",J95="Urlaub"),"",IF(J95="","",VLOOKUP(D95,Dienste!C:W,7,)))</f>
        <v/>
      </c>
      <c r="W95" s="18" t="str">
        <f>IF(OR(J95="Krankenstand",J95="Urlaub"),"",IF(J95="","",VLOOKUP(D95,Dienste!C:W,11,)))</f>
        <v/>
      </c>
      <c r="X95" s="18" t="str">
        <f>IF(OR(J95="Krankenstand",J95="Urlaub"),"",IF(J95="","",VLOOKUP(D95,Dienste!C:W,12,)))</f>
        <v/>
      </c>
      <c r="Y95" s="19" t="str">
        <f>IF(OR(J95="Krankenstand",J95="Urlaub"),"",IF(J95="","",VLOOKUP(D95,Dienste!C:W,14,)))</f>
        <v/>
      </c>
      <c r="Z95" s="20" t="str">
        <f>IF(OR(J95="Krankenstand",J95="Urlaub"),"",IF(J95="","",VLOOKUP(D95,Dienste!C:W,15,)))</f>
        <v/>
      </c>
      <c r="AA95" s="124" t="str">
        <f t="shared" si="40"/>
        <v/>
      </c>
      <c r="AB95" s="19" t="str">
        <f t="shared" si="41"/>
        <v/>
      </c>
      <c r="AC95" s="126" t="str">
        <f>_xlfn.CONCAT(_xlfn.CONCAT(IF(I95="","",_xlfn.CONCAT("FT: ",I95,IF(J95="","","; "))),IF(B95&lt;Datenblatt!$B$9,"",IF(B95="","",IF(NOT(J95=""),SUBSTITUTE(SUBSTITUTE(SUBSTITUTE(J95," mR","")," oR","")," O",""),"")))),IF(AF95="","",_xlfn.CONCAT(CHAR(10),"; ",AF95)))</f>
        <v/>
      </c>
      <c r="AD95" s="124" t="str">
        <f t="shared" si="50"/>
        <v/>
      </c>
      <c r="AE95" s="19">
        <f t="shared" si="42"/>
        <v>0</v>
      </c>
      <c r="AF95" s="156"/>
    </row>
    <row r="96" spans="1:32" s="9" customFormat="1" ht="13">
      <c r="B96" s="6">
        <f t="shared" si="43"/>
        <v>44635</v>
      </c>
      <c r="C96" s="45">
        <f>SMALL(Daten!W:W,COUNTIF(Daten!W:W,"&lt;"&amp;Stundenaufzeichnung!B96+1))</f>
        <v>44578</v>
      </c>
      <c r="D96" s="45" t="str">
        <f t="shared" si="38"/>
        <v/>
      </c>
      <c r="E96" s="8">
        <f t="shared" si="39"/>
        <v>4</v>
      </c>
      <c r="F96" s="8">
        <f t="shared" si="44"/>
        <v>2</v>
      </c>
      <c r="G96" s="8">
        <f>IF(B96="","",VLOOKUP(E96,Datenblatt!$L$2:$N$8,3,FALSE))</f>
        <v>0</v>
      </c>
      <c r="H96" s="8" t="str">
        <f t="shared" si="45"/>
        <v/>
      </c>
      <c r="I96" s="11" t="str">
        <f>IFERROR(VLOOKUP(B96,Datenblatt!$E:$F,2,FALSE),"")</f>
        <v/>
      </c>
      <c r="J96" s="113"/>
      <c r="K96" s="19">
        <f>IF(B96&lt;Datenblatt!$B$9,"",IF(B96="","",IF(G96=0,Datenblatt!$B$7,"")))</f>
        <v>6.67</v>
      </c>
      <c r="L96" s="19" t="str">
        <f t="shared" si="46"/>
        <v/>
      </c>
      <c r="M96" s="124" t="str">
        <f t="shared" si="47"/>
        <v/>
      </c>
      <c r="N96" s="124" t="str">
        <f>IF(AND(L96=Datenblatt!$B$7,NOT(L95=Datenblatt!$B$7),NOT(L97=Datenblatt!$B$7)),"y",IF(AND(L96=Datenblatt!$B$7,L97=Datenblatt!$B$7,NOT(L95=Datenblatt!$B$7)),"a",IF(AND(L96=Datenblatt!$B$7,L95=Datenblatt!$B$7,NOT(L97=Datenblatt!$B$7)),"b","")))</f>
        <v/>
      </c>
      <c r="O96" s="19" t="str">
        <f t="shared" si="48"/>
        <v/>
      </c>
      <c r="P96" s="124" t="str">
        <f>IF(AND(M96=Datenblatt!$B$7,NOT(M95=Datenblatt!$B$7),NOT(M97=Datenblatt!$B$7)),"y",IF(AND(M96=Datenblatt!$B$7,M97=Datenblatt!$B$7,NOT(M95=Datenblatt!$B$7)),"a",IF(AND(M96=Datenblatt!$B$7,M95=Datenblatt!$B$7,NOT(M97=Datenblatt!$B$7)),"b","")))</f>
        <v/>
      </c>
      <c r="Q96" s="19" t="str">
        <f t="shared" si="49"/>
        <v/>
      </c>
      <c r="R96" s="124" t="str">
        <f>IF(I96="","",IF(AND(OR(J96="Krankenstand",J96="Urlaub",J96=""), AND(G96=0,NOT(I96=""))),Datenblatt!$B$7,""))</f>
        <v/>
      </c>
      <c r="S96" s="19" t="str">
        <f>IF(OR(J96="Krankenstand",J96="Urlaub"),"",IF(J96="","",VLOOKUP(D96,Dienste!C:W,21,)))</f>
        <v/>
      </c>
      <c r="T96" s="18" t="str">
        <f>IF(OR(J96="Krankenstand",J96="Urlaub"),"",IF(J96="","",VLOOKUP(D96,Dienste!C:W,5,)))</f>
        <v/>
      </c>
      <c r="U96" s="18" t="str">
        <f>IF(OR(J96="Krankenstand",J96="Urlaub"),"",IF(J96="","",VLOOKUP(D96,Dienste!C:W,6,)))</f>
        <v/>
      </c>
      <c r="V96" s="18" t="str">
        <f>IF(OR(J96="Krankenstand",J96="Urlaub"),"",IF(J96="","",VLOOKUP(D96,Dienste!C:W,7,)))</f>
        <v/>
      </c>
      <c r="W96" s="18" t="str">
        <f>IF(OR(J96="Krankenstand",J96="Urlaub"),"",IF(J96="","",VLOOKUP(D96,Dienste!C:W,11,)))</f>
        <v/>
      </c>
      <c r="X96" s="18" t="str">
        <f>IF(OR(J96="Krankenstand",J96="Urlaub"),"",IF(J96="","",VLOOKUP(D96,Dienste!C:W,12,)))</f>
        <v/>
      </c>
      <c r="Y96" s="19" t="str">
        <f>IF(OR(J96="Krankenstand",J96="Urlaub"),"",IF(J96="","",VLOOKUP(D96,Dienste!C:W,14,)))</f>
        <v/>
      </c>
      <c r="Z96" s="20" t="str">
        <f>IF(OR(J96="Krankenstand",J96="Urlaub"),"",IF(J96="","",VLOOKUP(D96,Dienste!C:W,15,)))</f>
        <v/>
      </c>
      <c r="AA96" s="124" t="str">
        <f t="shared" si="40"/>
        <v/>
      </c>
      <c r="AB96" s="19" t="str">
        <f t="shared" si="41"/>
        <v/>
      </c>
      <c r="AC96" s="126" t="str">
        <f>_xlfn.CONCAT(_xlfn.CONCAT(IF(I96="","",_xlfn.CONCAT("FT: ",I96,IF(J96="","","; "))),IF(B96&lt;Datenblatt!$B$9,"",IF(B96="","",IF(NOT(J96=""),SUBSTITUTE(SUBSTITUTE(SUBSTITUTE(J96," mR","")," oR","")," O",""),"")))),IF(AF96="","",_xlfn.CONCAT(CHAR(10),"; ",AF96)))</f>
        <v/>
      </c>
      <c r="AD96" s="124" t="str">
        <f t="shared" si="50"/>
        <v/>
      </c>
      <c r="AE96" s="19">
        <f t="shared" si="42"/>
        <v>0</v>
      </c>
      <c r="AF96" s="156"/>
    </row>
    <row r="97" spans="2:32" s="9" customFormat="1" ht="13">
      <c r="B97" s="6">
        <f t="shared" si="43"/>
        <v>44636</v>
      </c>
      <c r="C97" s="45">
        <f>SMALL(Daten!W:W,COUNTIF(Daten!W:W,"&lt;"&amp;Stundenaufzeichnung!B97+1))</f>
        <v>44578</v>
      </c>
      <c r="D97" s="45" t="str">
        <f t="shared" si="38"/>
        <v/>
      </c>
      <c r="E97" s="8">
        <f t="shared" si="39"/>
        <v>5</v>
      </c>
      <c r="F97" s="8">
        <f t="shared" si="44"/>
        <v>3</v>
      </c>
      <c r="G97" s="8">
        <f>IF(B97="","",VLOOKUP(E97,Datenblatt!$L$2:$N$8,3,FALSE))</f>
        <v>0</v>
      </c>
      <c r="H97" s="8" t="str">
        <f t="shared" si="45"/>
        <v/>
      </c>
      <c r="I97" s="11" t="str">
        <f>IFERROR(VLOOKUP(B97,Datenblatt!$E:$F,2,FALSE),"")</f>
        <v/>
      </c>
      <c r="J97" s="113"/>
      <c r="K97" s="19">
        <f>IF(B97&lt;Datenblatt!$B$9,"",IF(B97="","",IF(G97=0,Datenblatt!$B$7,"")))</f>
        <v>6.67</v>
      </c>
      <c r="L97" s="19" t="str">
        <f t="shared" si="46"/>
        <v/>
      </c>
      <c r="M97" s="124" t="str">
        <f t="shared" si="47"/>
        <v/>
      </c>
      <c r="N97" s="124" t="str">
        <f>IF(AND(L97=Datenblatt!$B$7,NOT(L96=Datenblatt!$B$7),NOT(L98=Datenblatt!$B$7)),"y",IF(AND(L97=Datenblatt!$B$7,L98=Datenblatt!$B$7,NOT(L96=Datenblatt!$B$7)),"a",IF(AND(L97=Datenblatt!$B$7,L96=Datenblatt!$B$7,NOT(L98=Datenblatt!$B$7)),"b","")))</f>
        <v/>
      </c>
      <c r="O97" s="19" t="str">
        <f t="shared" si="48"/>
        <v/>
      </c>
      <c r="P97" s="124" t="str">
        <f>IF(AND(M97=Datenblatt!$B$7,NOT(M96=Datenblatt!$B$7),NOT(M98=Datenblatt!$B$7)),"y",IF(AND(M97=Datenblatt!$B$7,M98=Datenblatt!$B$7,NOT(M96=Datenblatt!$B$7)),"a",IF(AND(M97=Datenblatt!$B$7,M96=Datenblatt!$B$7,NOT(M98=Datenblatt!$B$7)),"b","")))</f>
        <v/>
      </c>
      <c r="Q97" s="19" t="str">
        <f t="shared" si="49"/>
        <v/>
      </c>
      <c r="R97" s="124" t="str">
        <f>IF(I97="","",IF(AND(OR(J97="Krankenstand",J97="Urlaub",J97=""), AND(G97=0,NOT(I97=""))),Datenblatt!$B$7,""))</f>
        <v/>
      </c>
      <c r="S97" s="19" t="str">
        <f>IF(OR(J97="Krankenstand",J97="Urlaub"),"",IF(J97="","",VLOOKUP(D97,Dienste!C:W,21,)))</f>
        <v/>
      </c>
      <c r="T97" s="18" t="str">
        <f>IF(OR(J97="Krankenstand",J97="Urlaub"),"",IF(J97="","",VLOOKUP(D97,Dienste!C:W,5,)))</f>
        <v/>
      </c>
      <c r="U97" s="18" t="str">
        <f>IF(OR(J97="Krankenstand",J97="Urlaub"),"",IF(J97="","",VLOOKUP(D97,Dienste!C:W,6,)))</f>
        <v/>
      </c>
      <c r="V97" s="18" t="str">
        <f>IF(OR(J97="Krankenstand",J97="Urlaub"),"",IF(J97="","",VLOOKUP(D97,Dienste!C:W,7,)))</f>
        <v/>
      </c>
      <c r="W97" s="18" t="str">
        <f>IF(OR(J97="Krankenstand",J97="Urlaub"),"",IF(J97="","",VLOOKUP(D97,Dienste!C:W,11,)))</f>
        <v/>
      </c>
      <c r="X97" s="18" t="str">
        <f>IF(OR(J97="Krankenstand",J97="Urlaub"),"",IF(J97="","",VLOOKUP(D97,Dienste!C:W,12,)))</f>
        <v/>
      </c>
      <c r="Y97" s="19" t="str">
        <f>IF(OR(J97="Krankenstand",J97="Urlaub"),"",IF(J97="","",VLOOKUP(D97,Dienste!C:W,14,)))</f>
        <v/>
      </c>
      <c r="Z97" s="20" t="str">
        <f>IF(OR(J97="Krankenstand",J97="Urlaub"),"",IF(J97="","",VLOOKUP(D97,Dienste!C:W,15,)))</f>
        <v/>
      </c>
      <c r="AA97" s="124" t="str">
        <f t="shared" si="40"/>
        <v/>
      </c>
      <c r="AB97" s="19" t="str">
        <f t="shared" si="41"/>
        <v/>
      </c>
      <c r="AC97" s="126" t="str">
        <f>_xlfn.CONCAT(_xlfn.CONCAT(IF(I97="","",_xlfn.CONCAT("FT: ",I97,IF(J97="","","; "))),IF(B97&lt;Datenblatt!$B$9,"",IF(B97="","",IF(NOT(J97=""),SUBSTITUTE(SUBSTITUTE(SUBSTITUTE(J97," mR","")," oR","")," O",""),"")))),IF(AF97="","",_xlfn.CONCAT(CHAR(10),"; ",AF97)))</f>
        <v/>
      </c>
      <c r="AD97" s="124" t="str">
        <f t="shared" si="50"/>
        <v/>
      </c>
      <c r="AE97" s="19">
        <f t="shared" si="42"/>
        <v>0</v>
      </c>
      <c r="AF97" s="156"/>
    </row>
    <row r="98" spans="2:32" s="9" customFormat="1" ht="13">
      <c r="B98" s="6">
        <f t="shared" si="43"/>
        <v>44637</v>
      </c>
      <c r="C98" s="45">
        <f>SMALL(Daten!W:W,COUNTIF(Daten!W:W,"&lt;"&amp;Stundenaufzeichnung!B98+1))</f>
        <v>44578</v>
      </c>
      <c r="D98" s="45" t="str">
        <f t="shared" si="38"/>
        <v/>
      </c>
      <c r="E98" s="8">
        <f t="shared" si="39"/>
        <v>6</v>
      </c>
      <c r="F98" s="8">
        <f t="shared" si="44"/>
        <v>4</v>
      </c>
      <c r="G98" s="8">
        <f>IF(B98="","",VLOOKUP(E98,Datenblatt!$L$2:$N$8,3,FALSE))</f>
        <v>0</v>
      </c>
      <c r="H98" s="8" t="str">
        <f t="shared" si="45"/>
        <v/>
      </c>
      <c r="I98" s="11" t="str">
        <f>IFERROR(VLOOKUP(B98,Datenblatt!$E:$F,2,FALSE),"")</f>
        <v/>
      </c>
      <c r="J98" s="113"/>
      <c r="K98" s="19">
        <f>IF(B98&lt;Datenblatt!$B$9,"",IF(B98="","",IF(G98=0,Datenblatt!$B$7,"")))</f>
        <v>6.67</v>
      </c>
      <c r="L98" s="19" t="str">
        <f t="shared" si="46"/>
        <v/>
      </c>
      <c r="M98" s="124" t="str">
        <f t="shared" si="47"/>
        <v/>
      </c>
      <c r="N98" s="124" t="str">
        <f>IF(AND(L98=Datenblatt!$B$7,NOT(L97=Datenblatt!$B$7),NOT(L99=Datenblatt!$B$7)),"y",IF(AND(L98=Datenblatt!$B$7,L99=Datenblatt!$B$7,NOT(L97=Datenblatt!$B$7)),"a",IF(AND(L98=Datenblatt!$B$7,L97=Datenblatt!$B$7,NOT(L99=Datenblatt!$B$7)),"b","")))</f>
        <v/>
      </c>
      <c r="O98" s="19" t="str">
        <f t="shared" si="48"/>
        <v/>
      </c>
      <c r="P98" s="124" t="str">
        <f>IF(AND(M98=Datenblatt!$B$7,NOT(M97=Datenblatt!$B$7),NOT(M99=Datenblatt!$B$7)),"y",IF(AND(M98=Datenblatt!$B$7,M99=Datenblatt!$B$7,NOT(M97=Datenblatt!$B$7)),"a",IF(AND(M98=Datenblatt!$B$7,M97=Datenblatt!$B$7,NOT(M99=Datenblatt!$B$7)),"b","")))</f>
        <v/>
      </c>
      <c r="Q98" s="19" t="str">
        <f t="shared" si="49"/>
        <v/>
      </c>
      <c r="R98" s="124" t="str">
        <f>IF(I98="","",IF(AND(OR(J98="Krankenstand",J98="Urlaub",J98=""), AND(G98=0,NOT(I98=""))),Datenblatt!$B$7,""))</f>
        <v/>
      </c>
      <c r="S98" s="19" t="str">
        <f>IF(OR(J98="Krankenstand",J98="Urlaub"),"",IF(J98="","",VLOOKUP(D98,Dienste!C:W,21,)))</f>
        <v/>
      </c>
      <c r="T98" s="18" t="str">
        <f>IF(OR(J98="Krankenstand",J98="Urlaub"),"",IF(J98="","",VLOOKUP(D98,Dienste!C:W,5,)))</f>
        <v/>
      </c>
      <c r="U98" s="18" t="str">
        <f>IF(OR(J98="Krankenstand",J98="Urlaub"),"",IF(J98="","",VLOOKUP(D98,Dienste!C:W,6,)))</f>
        <v/>
      </c>
      <c r="V98" s="18" t="str">
        <f>IF(OR(J98="Krankenstand",J98="Urlaub"),"",IF(J98="","",VLOOKUP(D98,Dienste!C:W,7,)))</f>
        <v/>
      </c>
      <c r="W98" s="18" t="str">
        <f>IF(OR(J98="Krankenstand",J98="Urlaub"),"",IF(J98="","",VLOOKUP(D98,Dienste!C:W,11,)))</f>
        <v/>
      </c>
      <c r="X98" s="18" t="str">
        <f>IF(OR(J98="Krankenstand",J98="Urlaub"),"",IF(J98="","",VLOOKUP(D98,Dienste!C:W,12,)))</f>
        <v/>
      </c>
      <c r="Y98" s="19" t="str">
        <f>IF(OR(J98="Krankenstand",J98="Urlaub"),"",IF(J98="","",VLOOKUP(D98,Dienste!C:W,14,)))</f>
        <v/>
      </c>
      <c r="Z98" s="20" t="str">
        <f>IF(OR(J98="Krankenstand",J98="Urlaub"),"",IF(J98="","",VLOOKUP(D98,Dienste!C:W,15,)))</f>
        <v/>
      </c>
      <c r="AA98" s="124" t="str">
        <f t="shared" si="40"/>
        <v/>
      </c>
      <c r="AB98" s="19" t="str">
        <f t="shared" si="41"/>
        <v/>
      </c>
      <c r="AC98" s="126" t="str">
        <f>_xlfn.CONCAT(_xlfn.CONCAT(IF(I98="","",_xlfn.CONCAT("FT: ",I98,IF(J98="","","; "))),IF(B98&lt;Datenblatt!$B$9,"",IF(B98="","",IF(NOT(J98=""),SUBSTITUTE(SUBSTITUTE(SUBSTITUTE(J98," mR","")," oR","")," O",""),"")))),IF(AF98="","",_xlfn.CONCAT(CHAR(10),"; ",AF98)))</f>
        <v/>
      </c>
      <c r="AD98" s="124" t="str">
        <f t="shared" si="50"/>
        <v/>
      </c>
      <c r="AE98" s="19">
        <f t="shared" si="42"/>
        <v>0</v>
      </c>
      <c r="AF98" s="156"/>
    </row>
    <row r="99" spans="2:32" s="9" customFormat="1" ht="13">
      <c r="B99" s="6">
        <f t="shared" si="43"/>
        <v>44638</v>
      </c>
      <c r="C99" s="45">
        <f>SMALL(Daten!W:W,COUNTIF(Daten!W:W,"&lt;"&amp;Stundenaufzeichnung!B99+1))</f>
        <v>44578</v>
      </c>
      <c r="D99" s="45" t="str">
        <f t="shared" si="38"/>
        <v/>
      </c>
      <c r="E99" s="8">
        <f t="shared" si="39"/>
        <v>7</v>
      </c>
      <c r="F99" s="8">
        <f t="shared" si="44"/>
        <v>5</v>
      </c>
      <c r="G99" s="8">
        <f>IF(B99="","",VLOOKUP(E99,Datenblatt!$L$2:$N$8,3,FALSE))</f>
        <v>0</v>
      </c>
      <c r="H99" s="8" t="str">
        <f t="shared" si="45"/>
        <v/>
      </c>
      <c r="I99" s="11" t="str">
        <f>IFERROR(VLOOKUP(B99,Datenblatt!$E:$F,2,FALSE),"")</f>
        <v/>
      </c>
      <c r="J99" s="113"/>
      <c r="K99" s="19">
        <f>IF(B99&lt;Datenblatt!$B$9,"",IF(B99="","",IF(G99=0,Datenblatt!$B$7,"")))</f>
        <v>6.67</v>
      </c>
      <c r="L99" s="19" t="str">
        <f t="shared" si="46"/>
        <v/>
      </c>
      <c r="M99" s="124" t="str">
        <f t="shared" si="47"/>
        <v/>
      </c>
      <c r="N99" s="124" t="str">
        <f>IF(AND(L99=Datenblatt!$B$7,NOT(L98=Datenblatt!$B$7),NOT(L100=Datenblatt!$B$7)),"y",IF(AND(L99=Datenblatt!$B$7,L100=Datenblatt!$B$7,NOT(L98=Datenblatt!$B$7)),"a",IF(AND(L99=Datenblatt!$B$7,L98=Datenblatt!$B$7,NOT(L100=Datenblatt!$B$7)),"b","")))</f>
        <v/>
      </c>
      <c r="O99" s="19" t="str">
        <f t="shared" si="48"/>
        <v/>
      </c>
      <c r="P99" s="124" t="str">
        <f>IF(AND(M99=Datenblatt!$B$7,NOT(M98=Datenblatt!$B$7),NOT(M100=Datenblatt!$B$7)),"y",IF(AND(M99=Datenblatt!$B$7,M100=Datenblatt!$B$7,NOT(M98=Datenblatt!$B$7)),"a",IF(AND(M99=Datenblatt!$B$7,M98=Datenblatt!$B$7,NOT(M100=Datenblatt!$B$7)),"b","")))</f>
        <v/>
      </c>
      <c r="Q99" s="19" t="str">
        <f t="shared" si="49"/>
        <v/>
      </c>
      <c r="R99" s="124" t="str">
        <f>IF(I99="","",IF(AND(OR(J99="Krankenstand",J99="Urlaub",J99=""), AND(G99=0,NOT(I99=""))),Datenblatt!$B$7,""))</f>
        <v/>
      </c>
      <c r="S99" s="19" t="str">
        <f>IF(OR(J99="Krankenstand",J99="Urlaub"),"",IF(J99="","",VLOOKUP(D99,Dienste!C:W,21,)))</f>
        <v/>
      </c>
      <c r="T99" s="18" t="str">
        <f>IF(OR(J99="Krankenstand",J99="Urlaub"),"",IF(J99="","",VLOOKUP(D99,Dienste!C:W,5,)))</f>
        <v/>
      </c>
      <c r="U99" s="18" t="str">
        <f>IF(OR(J99="Krankenstand",J99="Urlaub"),"",IF(J99="","",VLOOKUP(D99,Dienste!C:W,6,)))</f>
        <v/>
      </c>
      <c r="V99" s="18" t="str">
        <f>IF(OR(J99="Krankenstand",J99="Urlaub"),"",IF(J99="","",VLOOKUP(D99,Dienste!C:W,7,)))</f>
        <v/>
      </c>
      <c r="W99" s="18" t="str">
        <f>IF(OR(J99="Krankenstand",J99="Urlaub"),"",IF(J99="","",VLOOKUP(D99,Dienste!C:W,11,)))</f>
        <v/>
      </c>
      <c r="X99" s="18" t="str">
        <f>IF(OR(J99="Krankenstand",J99="Urlaub"),"",IF(J99="","",VLOOKUP(D99,Dienste!C:W,12,)))</f>
        <v/>
      </c>
      <c r="Y99" s="19" t="str">
        <f>IF(OR(J99="Krankenstand",J99="Urlaub"),"",IF(J99="","",VLOOKUP(D99,Dienste!C:W,14,)))</f>
        <v/>
      </c>
      <c r="Z99" s="20" t="str">
        <f>IF(OR(J99="Krankenstand",J99="Urlaub"),"",IF(J99="","",VLOOKUP(D99,Dienste!C:W,15,)))</f>
        <v/>
      </c>
      <c r="AA99" s="124" t="str">
        <f t="shared" si="40"/>
        <v/>
      </c>
      <c r="AB99" s="19" t="str">
        <f t="shared" si="41"/>
        <v/>
      </c>
      <c r="AC99" s="126" t="str">
        <f>_xlfn.CONCAT(_xlfn.CONCAT(IF(I99="","",_xlfn.CONCAT("FT: ",I99,IF(J99="","","; "))),IF(B99&lt;Datenblatt!$B$9,"",IF(B99="","",IF(NOT(J99=""),SUBSTITUTE(SUBSTITUTE(SUBSTITUTE(J99," mR","")," oR","")," O",""),"")))),IF(AF99="","",_xlfn.CONCAT(CHAR(10),"; ",AF99)))</f>
        <v/>
      </c>
      <c r="AD99" s="124" t="str">
        <f t="shared" si="50"/>
        <v/>
      </c>
      <c r="AE99" s="19">
        <f t="shared" si="42"/>
        <v>0</v>
      </c>
      <c r="AF99" s="156"/>
    </row>
    <row r="100" spans="2:32" s="9" customFormat="1" ht="13">
      <c r="B100" s="6">
        <f t="shared" si="43"/>
        <v>44639</v>
      </c>
      <c r="C100" s="45">
        <f>SMALL(Daten!W:W,COUNTIF(Daten!W:W,"&lt;"&amp;Stundenaufzeichnung!B100+1))</f>
        <v>44578</v>
      </c>
      <c r="D100" s="45" t="str">
        <f t="shared" si="38"/>
        <v/>
      </c>
      <c r="E100" s="8">
        <f t="shared" si="39"/>
        <v>1</v>
      </c>
      <c r="F100" s="8">
        <f t="shared" si="44"/>
        <v>6</v>
      </c>
      <c r="G100" s="8">
        <f>IF(B100="","",VLOOKUP(E100,Datenblatt!$L$2:$N$8,3,FALSE))</f>
        <v>0</v>
      </c>
      <c r="H100" s="8" t="str">
        <f t="shared" si="45"/>
        <v/>
      </c>
      <c r="I100" s="11" t="str">
        <f>IFERROR(VLOOKUP(B100,Datenblatt!$E:$F,2,FALSE),"")</f>
        <v/>
      </c>
      <c r="J100" s="113"/>
      <c r="K100" s="19">
        <f>IF(B100&lt;Datenblatt!$B$9,"",IF(B100="","",IF(G100=0,Datenblatt!$B$7,"")))</f>
        <v>6.67</v>
      </c>
      <c r="L100" s="19" t="str">
        <f t="shared" si="46"/>
        <v/>
      </c>
      <c r="M100" s="124" t="str">
        <f t="shared" si="47"/>
        <v/>
      </c>
      <c r="N100" s="124" t="str">
        <f>IF(AND(L100=Datenblatt!$B$7,NOT(L99=Datenblatt!$B$7),NOT(L101=Datenblatt!$B$7)),"y",IF(AND(L100=Datenblatt!$B$7,L101=Datenblatt!$B$7,NOT(L99=Datenblatt!$B$7)),"a",IF(AND(L100=Datenblatt!$B$7,L99=Datenblatt!$B$7,NOT(L101=Datenblatt!$B$7)),"b","")))</f>
        <v/>
      </c>
      <c r="O100" s="19" t="str">
        <f t="shared" si="48"/>
        <v/>
      </c>
      <c r="P100" s="124" t="str">
        <f>IF(AND(M100=Datenblatt!$B$7,NOT(M99=Datenblatt!$B$7),NOT(M101=Datenblatt!$B$7)),"y",IF(AND(M100=Datenblatt!$B$7,M101=Datenblatt!$B$7,NOT(M99=Datenblatt!$B$7)),"a",IF(AND(M100=Datenblatt!$B$7,M99=Datenblatt!$B$7,NOT(M101=Datenblatt!$B$7)),"b","")))</f>
        <v/>
      </c>
      <c r="Q100" s="19" t="str">
        <f t="shared" si="49"/>
        <v/>
      </c>
      <c r="R100" s="124" t="str">
        <f>IF(I100="","",IF(AND(OR(J100="Krankenstand",J100="Urlaub",J100=""), AND(G100=0,NOT(I100=""))),Datenblatt!$B$7,""))</f>
        <v/>
      </c>
      <c r="S100" s="19" t="str">
        <f>IF(OR(J100="Krankenstand",J100="Urlaub"),"",IF(J100="","",VLOOKUP(D100,Dienste!C:W,21,)))</f>
        <v/>
      </c>
      <c r="T100" s="18" t="str">
        <f>IF(OR(J100="Krankenstand",J100="Urlaub"),"",IF(J100="","",VLOOKUP(D100,Dienste!C:W,5,)))</f>
        <v/>
      </c>
      <c r="U100" s="18" t="str">
        <f>IF(OR(J100="Krankenstand",J100="Urlaub"),"",IF(J100="","",VLOOKUP(D100,Dienste!C:W,6,)))</f>
        <v/>
      </c>
      <c r="V100" s="18" t="str">
        <f>IF(OR(J100="Krankenstand",J100="Urlaub"),"",IF(J100="","",VLOOKUP(D100,Dienste!C:W,7,)))</f>
        <v/>
      </c>
      <c r="W100" s="18" t="str">
        <f>IF(OR(J100="Krankenstand",J100="Urlaub"),"",IF(J100="","",VLOOKUP(D100,Dienste!C:W,11,)))</f>
        <v/>
      </c>
      <c r="X100" s="18" t="str">
        <f>IF(OR(J100="Krankenstand",J100="Urlaub"),"",IF(J100="","",VLOOKUP(D100,Dienste!C:W,12,)))</f>
        <v/>
      </c>
      <c r="Y100" s="19" t="str">
        <f>IF(OR(J100="Krankenstand",J100="Urlaub"),"",IF(J100="","",VLOOKUP(D100,Dienste!C:W,14,)))</f>
        <v/>
      </c>
      <c r="Z100" s="20" t="str">
        <f>IF(OR(J100="Krankenstand",J100="Urlaub"),"",IF(J100="","",VLOOKUP(D100,Dienste!C:W,15,)))</f>
        <v/>
      </c>
      <c r="AA100" s="124" t="str">
        <f t="shared" si="40"/>
        <v/>
      </c>
      <c r="AB100" s="19" t="str">
        <f t="shared" si="41"/>
        <v/>
      </c>
      <c r="AC100" s="126" t="str">
        <f>_xlfn.CONCAT(_xlfn.CONCAT(IF(I100="","",_xlfn.CONCAT("FT: ",I100,IF(J100="","","; "))),IF(B100&lt;Datenblatt!$B$9,"",IF(B100="","",IF(NOT(J100=""),SUBSTITUTE(SUBSTITUTE(SUBSTITUTE(J100," mR","")," oR","")," O",""),"")))),IF(AF100="","",_xlfn.CONCAT(CHAR(10),"; ",AF100)))</f>
        <v/>
      </c>
      <c r="AD100" s="124" t="str">
        <f t="shared" si="50"/>
        <v/>
      </c>
      <c r="AE100" s="19">
        <f t="shared" si="42"/>
        <v>0</v>
      </c>
      <c r="AF100" s="156"/>
    </row>
    <row r="101" spans="2:32" s="9" customFormat="1" ht="13">
      <c r="B101" s="6">
        <f t="shared" si="43"/>
        <v>44640</v>
      </c>
      <c r="C101" s="45">
        <f>SMALL(Daten!W:W,COUNTIF(Daten!W:W,"&lt;"&amp;Stundenaufzeichnung!B101+1))</f>
        <v>44578</v>
      </c>
      <c r="D101" s="45" t="str">
        <f t="shared" si="38"/>
        <v/>
      </c>
      <c r="E101" s="8">
        <f t="shared" si="39"/>
        <v>2</v>
      </c>
      <c r="F101" s="8">
        <f t="shared" si="44"/>
        <v>7</v>
      </c>
      <c r="G101" s="8">
        <f>IF(B101="","",VLOOKUP(E101,Datenblatt!$L$2:$N$8,3,FALSE))</f>
        <v>1</v>
      </c>
      <c r="H101" s="8" t="str">
        <f t="shared" si="45"/>
        <v>x</v>
      </c>
      <c r="I101" s="11" t="str">
        <f>IFERROR(VLOOKUP(B101,Datenblatt!$E:$F,2,FALSE),"")</f>
        <v/>
      </c>
      <c r="J101" s="113"/>
      <c r="K101" s="19" t="str">
        <f>IF(B101&lt;Datenblatt!$B$9,"",IF(B101="","",IF(G101=0,Datenblatt!$B$7,"")))</f>
        <v/>
      </c>
      <c r="L101" s="19" t="str">
        <f t="shared" si="46"/>
        <v/>
      </c>
      <c r="M101" s="124" t="str">
        <f t="shared" si="47"/>
        <v/>
      </c>
      <c r="N101" s="124" t="str">
        <f>IF(AND(L101=Datenblatt!$B$7,NOT(L100=Datenblatt!$B$7),NOT(L102=Datenblatt!$B$7)),"y",IF(AND(L101=Datenblatt!$B$7,L102=Datenblatt!$B$7,NOT(L100=Datenblatt!$B$7)),"a",IF(AND(L101=Datenblatt!$B$7,L100=Datenblatt!$B$7,NOT(L102=Datenblatt!$B$7)),"b","")))</f>
        <v/>
      </c>
      <c r="O101" s="19" t="str">
        <f t="shared" si="48"/>
        <v/>
      </c>
      <c r="P101" s="124" t="str">
        <f>IF(AND(M101=Datenblatt!$B$7,NOT(M100=Datenblatt!$B$7),NOT(M102=Datenblatt!$B$7)),"y",IF(AND(M101=Datenblatt!$B$7,M102=Datenblatt!$B$7,NOT(M100=Datenblatt!$B$7)),"a",IF(AND(M101=Datenblatt!$B$7,M100=Datenblatt!$B$7,NOT(M102=Datenblatt!$B$7)),"b","")))</f>
        <v/>
      </c>
      <c r="Q101" s="19" t="str">
        <f t="shared" si="49"/>
        <v/>
      </c>
      <c r="R101" s="124" t="str">
        <f>IF(I101="","",IF(AND(OR(J101="Krankenstand",J101="Urlaub",J101=""), AND(G101=0,NOT(I101=""))),Datenblatt!$B$7,""))</f>
        <v/>
      </c>
      <c r="S101" s="19" t="str">
        <f>IF(OR(J101="Krankenstand",J101="Urlaub"),"",IF(J101="","",VLOOKUP(D101,Dienste!C:W,21,)))</f>
        <v/>
      </c>
      <c r="T101" s="18" t="str">
        <f>IF(OR(J101="Krankenstand",J101="Urlaub"),"",IF(J101="","",VLOOKUP(D101,Dienste!C:W,5,)))</f>
        <v/>
      </c>
      <c r="U101" s="18" t="str">
        <f>IF(OR(J101="Krankenstand",J101="Urlaub"),"",IF(J101="","",VLOOKUP(D101,Dienste!C:W,6,)))</f>
        <v/>
      </c>
      <c r="V101" s="18" t="str">
        <f>IF(OR(J101="Krankenstand",J101="Urlaub"),"",IF(J101="","",VLOOKUP(D101,Dienste!C:W,7,)))</f>
        <v/>
      </c>
      <c r="W101" s="18" t="str">
        <f>IF(OR(J101="Krankenstand",J101="Urlaub"),"",IF(J101="","",VLOOKUP(D101,Dienste!C:W,11,)))</f>
        <v/>
      </c>
      <c r="X101" s="18" t="str">
        <f>IF(OR(J101="Krankenstand",J101="Urlaub"),"",IF(J101="","",VLOOKUP(D101,Dienste!C:W,12,)))</f>
        <v/>
      </c>
      <c r="Y101" s="19" t="str">
        <f>IF(OR(J101="Krankenstand",J101="Urlaub"),"",IF(J101="","",VLOOKUP(D101,Dienste!C:W,14,)))</f>
        <v/>
      </c>
      <c r="Z101" s="20" t="str">
        <f>IF(OR(J101="Krankenstand",J101="Urlaub"),"",IF(J101="","",VLOOKUP(D101,Dienste!C:W,15,)))</f>
        <v/>
      </c>
      <c r="AA101" s="124" t="str">
        <f t="shared" si="40"/>
        <v/>
      </c>
      <c r="AB101" s="19" t="str">
        <f t="shared" si="41"/>
        <v/>
      </c>
      <c r="AC101" s="126" t="str">
        <f>_xlfn.CONCAT(_xlfn.CONCAT(IF(I101="","",_xlfn.CONCAT("FT: ",I101,IF(J101="","","; "))),IF(B101&lt;Datenblatt!$B$9,"",IF(B101="","",IF(NOT(J101=""),SUBSTITUTE(SUBSTITUTE(SUBSTITUTE(J101," mR","")," oR","")," O",""),"")))),IF(AF101="","",_xlfn.CONCAT(CHAR(10),"; ",AF101)))</f>
        <v/>
      </c>
      <c r="AD101" s="124" t="str">
        <f t="shared" si="50"/>
        <v/>
      </c>
      <c r="AE101" s="19">
        <f t="shared" si="42"/>
        <v>0</v>
      </c>
      <c r="AF101" s="156"/>
    </row>
    <row r="102" spans="2:32" s="9" customFormat="1" ht="13">
      <c r="B102" s="6">
        <f t="shared" si="43"/>
        <v>44641</v>
      </c>
      <c r="C102" s="45">
        <f>SMALL(Daten!W:W,COUNTIF(Daten!W:W,"&lt;"&amp;Stundenaufzeichnung!B102+1))</f>
        <v>44578</v>
      </c>
      <c r="D102" s="45" t="str">
        <f t="shared" si="38"/>
        <v/>
      </c>
      <c r="E102" s="8">
        <f t="shared" si="39"/>
        <v>3</v>
      </c>
      <c r="F102" s="8">
        <f t="shared" si="44"/>
        <v>1</v>
      </c>
      <c r="G102" s="8">
        <f>IF(B102="","",VLOOKUP(E102,Datenblatt!$L$2:$N$8,3,FALSE))</f>
        <v>0</v>
      </c>
      <c r="H102" s="8" t="str">
        <f t="shared" si="45"/>
        <v/>
      </c>
      <c r="I102" s="11" t="str">
        <f>IFERROR(VLOOKUP(B102,Datenblatt!$E:$F,2,FALSE),"")</f>
        <v/>
      </c>
      <c r="J102" s="113"/>
      <c r="K102" s="19">
        <f>IF(B102&lt;Datenblatt!$B$9,"",IF(B102="","",IF(G102=0,Datenblatt!$B$7,"")))</f>
        <v>6.67</v>
      </c>
      <c r="L102" s="19" t="str">
        <f t="shared" si="46"/>
        <v/>
      </c>
      <c r="M102" s="124" t="str">
        <f t="shared" si="47"/>
        <v/>
      </c>
      <c r="N102" s="124" t="str">
        <f>IF(AND(L102=Datenblatt!$B$7,NOT(L101=Datenblatt!$B$7),NOT(L103=Datenblatt!$B$7)),"y",IF(AND(L102=Datenblatt!$B$7,L103=Datenblatt!$B$7,NOT(L101=Datenblatt!$B$7)),"a",IF(AND(L102=Datenblatt!$B$7,L101=Datenblatt!$B$7,NOT(L103=Datenblatt!$B$7)),"b","")))</f>
        <v/>
      </c>
      <c r="O102" s="19" t="str">
        <f t="shared" si="48"/>
        <v/>
      </c>
      <c r="P102" s="124" t="str">
        <f>IF(AND(M102=Datenblatt!$B$7,NOT(M101=Datenblatt!$B$7),NOT(M103=Datenblatt!$B$7)),"y",IF(AND(M102=Datenblatt!$B$7,M103=Datenblatt!$B$7,NOT(M101=Datenblatt!$B$7)),"a",IF(AND(M102=Datenblatt!$B$7,M101=Datenblatt!$B$7,NOT(M103=Datenblatt!$B$7)),"b","")))</f>
        <v/>
      </c>
      <c r="Q102" s="19" t="str">
        <f t="shared" si="49"/>
        <v/>
      </c>
      <c r="R102" s="124" t="str">
        <f>IF(I102="","",IF(AND(OR(J102="Krankenstand",J102="Urlaub",J102=""), AND(G102=0,NOT(I102=""))),Datenblatt!$B$7,""))</f>
        <v/>
      </c>
      <c r="S102" s="19" t="str">
        <f>IF(OR(J102="Krankenstand",J102="Urlaub"),"",IF(J102="","",VLOOKUP(D102,Dienste!C:W,21,)))</f>
        <v/>
      </c>
      <c r="T102" s="18" t="str">
        <f>IF(OR(J102="Krankenstand",J102="Urlaub"),"",IF(J102="","",VLOOKUP(D102,Dienste!C:W,5,)))</f>
        <v/>
      </c>
      <c r="U102" s="18" t="str">
        <f>IF(OR(J102="Krankenstand",J102="Urlaub"),"",IF(J102="","",VLOOKUP(D102,Dienste!C:W,6,)))</f>
        <v/>
      </c>
      <c r="V102" s="18" t="str">
        <f>IF(OR(J102="Krankenstand",J102="Urlaub"),"",IF(J102="","",VLOOKUP(D102,Dienste!C:W,7,)))</f>
        <v/>
      </c>
      <c r="W102" s="18" t="str">
        <f>IF(OR(J102="Krankenstand",J102="Urlaub"),"",IF(J102="","",VLOOKUP(D102,Dienste!C:W,11,)))</f>
        <v/>
      </c>
      <c r="X102" s="18" t="str">
        <f>IF(OR(J102="Krankenstand",J102="Urlaub"),"",IF(J102="","",VLOOKUP(D102,Dienste!C:W,12,)))</f>
        <v/>
      </c>
      <c r="Y102" s="19" t="str">
        <f>IF(OR(J102="Krankenstand",J102="Urlaub"),"",IF(J102="","",VLOOKUP(D102,Dienste!C:W,14,)))</f>
        <v/>
      </c>
      <c r="Z102" s="20" t="str">
        <f>IF(OR(J102="Krankenstand",J102="Urlaub"),"",IF(J102="","",VLOOKUP(D102,Dienste!C:W,15,)))</f>
        <v/>
      </c>
      <c r="AA102" s="124" t="str">
        <f t="shared" si="40"/>
        <v/>
      </c>
      <c r="AB102" s="19" t="str">
        <f t="shared" si="41"/>
        <v/>
      </c>
      <c r="AC102" s="126" t="str">
        <f>_xlfn.CONCAT(_xlfn.CONCAT(IF(I102="","",_xlfn.CONCAT("FT: ",I102,IF(J102="","","; "))),IF(B102&lt;Datenblatt!$B$9,"",IF(B102="","",IF(NOT(J102=""),SUBSTITUTE(SUBSTITUTE(SUBSTITUTE(J102," mR","")," oR","")," O",""),"")))),IF(AF102="","",_xlfn.CONCAT(CHAR(10),"; ",AF102)))</f>
        <v/>
      </c>
      <c r="AD102" s="124" t="str">
        <f t="shared" si="50"/>
        <v/>
      </c>
      <c r="AE102" s="19">
        <f t="shared" si="42"/>
        <v>0</v>
      </c>
      <c r="AF102" s="156"/>
    </row>
    <row r="103" spans="2:32" s="9" customFormat="1" ht="13">
      <c r="B103" s="6">
        <f t="shared" si="43"/>
        <v>44642</v>
      </c>
      <c r="C103" s="45">
        <f>SMALL(Daten!W:W,COUNTIF(Daten!W:W,"&lt;"&amp;Stundenaufzeichnung!B103+1))</f>
        <v>44578</v>
      </c>
      <c r="D103" s="45" t="str">
        <f t="shared" si="38"/>
        <v/>
      </c>
      <c r="E103" s="8">
        <f t="shared" si="39"/>
        <v>4</v>
      </c>
      <c r="F103" s="8">
        <f t="shared" si="44"/>
        <v>2</v>
      </c>
      <c r="G103" s="8">
        <f>IF(B103="","",VLOOKUP(E103,Datenblatt!$L$2:$N$8,3,FALSE))</f>
        <v>0</v>
      </c>
      <c r="H103" s="8" t="str">
        <f t="shared" si="45"/>
        <v/>
      </c>
      <c r="I103" s="11" t="str">
        <f>IFERROR(VLOOKUP(B103,Datenblatt!$E:$F,2,FALSE),"")</f>
        <v/>
      </c>
      <c r="J103" s="113"/>
      <c r="K103" s="19">
        <f>IF(B103&lt;Datenblatt!$B$9,"",IF(B103="","",IF(G103=0,Datenblatt!$B$7,"")))</f>
        <v>6.67</v>
      </c>
      <c r="L103" s="19" t="str">
        <f t="shared" si="46"/>
        <v/>
      </c>
      <c r="M103" s="124" t="str">
        <f t="shared" si="47"/>
        <v/>
      </c>
      <c r="N103" s="124" t="str">
        <f>IF(AND(L103=Datenblatt!$B$7,NOT(L102=Datenblatt!$B$7),NOT(L104=Datenblatt!$B$7)),"y",IF(AND(L103=Datenblatt!$B$7,L104=Datenblatt!$B$7,NOT(L102=Datenblatt!$B$7)),"a",IF(AND(L103=Datenblatt!$B$7,L102=Datenblatt!$B$7,NOT(L104=Datenblatt!$B$7)),"b","")))</f>
        <v/>
      </c>
      <c r="O103" s="19" t="str">
        <f t="shared" si="48"/>
        <v/>
      </c>
      <c r="P103" s="124" t="str">
        <f>IF(AND(M103=Datenblatt!$B$7,NOT(M102=Datenblatt!$B$7),NOT(M104=Datenblatt!$B$7)),"y",IF(AND(M103=Datenblatt!$B$7,M104=Datenblatt!$B$7,NOT(M102=Datenblatt!$B$7)),"a",IF(AND(M103=Datenblatt!$B$7,M102=Datenblatt!$B$7,NOT(M104=Datenblatt!$B$7)),"b","")))</f>
        <v/>
      </c>
      <c r="Q103" s="19" t="str">
        <f t="shared" si="49"/>
        <v/>
      </c>
      <c r="R103" s="124" t="str">
        <f>IF(I103="","",IF(AND(OR(J103="Krankenstand",J103="Urlaub",J103=""), AND(G103=0,NOT(I103=""))),Datenblatt!$B$7,""))</f>
        <v/>
      </c>
      <c r="S103" s="19" t="str">
        <f>IF(OR(J103="Krankenstand",J103="Urlaub"),"",IF(J103="","",VLOOKUP(D103,Dienste!C:W,21,)))</f>
        <v/>
      </c>
      <c r="T103" s="18" t="str">
        <f>IF(OR(J103="Krankenstand",J103="Urlaub"),"",IF(J103="","",VLOOKUP(D103,Dienste!C:W,5,)))</f>
        <v/>
      </c>
      <c r="U103" s="18" t="str">
        <f>IF(OR(J103="Krankenstand",J103="Urlaub"),"",IF(J103="","",VLOOKUP(D103,Dienste!C:W,6,)))</f>
        <v/>
      </c>
      <c r="V103" s="18" t="str">
        <f>IF(OR(J103="Krankenstand",J103="Urlaub"),"",IF(J103="","",VLOOKUP(D103,Dienste!C:W,7,)))</f>
        <v/>
      </c>
      <c r="W103" s="18" t="str">
        <f>IF(OR(J103="Krankenstand",J103="Urlaub"),"",IF(J103="","",VLOOKUP(D103,Dienste!C:W,11,)))</f>
        <v/>
      </c>
      <c r="X103" s="18" t="str">
        <f>IF(OR(J103="Krankenstand",J103="Urlaub"),"",IF(J103="","",VLOOKUP(D103,Dienste!C:W,12,)))</f>
        <v/>
      </c>
      <c r="Y103" s="19" t="str">
        <f>IF(OR(J103="Krankenstand",J103="Urlaub"),"",IF(J103="","",VLOOKUP(D103,Dienste!C:W,14,)))</f>
        <v/>
      </c>
      <c r="Z103" s="20" t="str">
        <f>IF(OR(J103="Krankenstand",J103="Urlaub"),"",IF(J103="","",VLOOKUP(D103,Dienste!C:W,15,)))</f>
        <v/>
      </c>
      <c r="AA103" s="124" t="str">
        <f t="shared" si="40"/>
        <v/>
      </c>
      <c r="AB103" s="19" t="str">
        <f t="shared" si="41"/>
        <v/>
      </c>
      <c r="AC103" s="126" t="str">
        <f>_xlfn.CONCAT(_xlfn.CONCAT(IF(I103="","",_xlfn.CONCAT("FT: ",I103,IF(J103="","","; "))),IF(B103&lt;Datenblatt!$B$9,"",IF(B103="","",IF(NOT(J103=""),SUBSTITUTE(SUBSTITUTE(SUBSTITUTE(J103," mR","")," oR","")," O",""),"")))),IF(AF103="","",_xlfn.CONCAT(CHAR(10),"; ",AF103)))</f>
        <v/>
      </c>
      <c r="AD103" s="124" t="str">
        <f t="shared" si="50"/>
        <v/>
      </c>
      <c r="AE103" s="19">
        <f t="shared" si="42"/>
        <v>0</v>
      </c>
      <c r="AF103" s="156"/>
    </row>
    <row r="104" spans="2:32" s="9" customFormat="1" ht="13">
      <c r="B104" s="6">
        <f t="shared" si="43"/>
        <v>44643</v>
      </c>
      <c r="C104" s="45">
        <f>SMALL(Daten!W:W,COUNTIF(Daten!W:W,"&lt;"&amp;Stundenaufzeichnung!B104+1))</f>
        <v>44578</v>
      </c>
      <c r="D104" s="45" t="str">
        <f t="shared" si="38"/>
        <v/>
      </c>
      <c r="E104" s="8">
        <f t="shared" si="39"/>
        <v>5</v>
      </c>
      <c r="F104" s="8">
        <f t="shared" si="44"/>
        <v>3</v>
      </c>
      <c r="G104" s="8">
        <f>IF(B104="","",VLOOKUP(E104,Datenblatt!$L$2:$N$8,3,FALSE))</f>
        <v>0</v>
      </c>
      <c r="H104" s="8" t="str">
        <f t="shared" si="45"/>
        <v/>
      </c>
      <c r="I104" s="11" t="str">
        <f>IFERROR(VLOOKUP(B104,Datenblatt!$E:$F,2,FALSE),"")</f>
        <v/>
      </c>
      <c r="J104" s="113"/>
      <c r="K104" s="19">
        <f>IF(B104&lt;Datenblatt!$B$9,"",IF(B104="","",IF(G104=0,Datenblatt!$B$7,"")))</f>
        <v>6.67</v>
      </c>
      <c r="L104" s="19" t="str">
        <f t="shared" si="46"/>
        <v/>
      </c>
      <c r="M104" s="124" t="str">
        <f t="shared" si="47"/>
        <v/>
      </c>
      <c r="N104" s="124" t="str">
        <f>IF(AND(L104=Datenblatt!$B$7,NOT(L103=Datenblatt!$B$7),NOT(L105=Datenblatt!$B$7)),"y",IF(AND(L104=Datenblatt!$B$7,L105=Datenblatt!$B$7,NOT(L103=Datenblatt!$B$7)),"a",IF(AND(L104=Datenblatt!$B$7,L103=Datenblatt!$B$7,NOT(L105=Datenblatt!$B$7)),"b","")))</f>
        <v/>
      </c>
      <c r="O104" s="19" t="str">
        <f t="shared" si="48"/>
        <v/>
      </c>
      <c r="P104" s="124" t="str">
        <f>IF(AND(M104=Datenblatt!$B$7,NOT(M103=Datenblatt!$B$7),NOT(M105=Datenblatt!$B$7)),"y",IF(AND(M104=Datenblatt!$B$7,M105=Datenblatt!$B$7,NOT(M103=Datenblatt!$B$7)),"a",IF(AND(M104=Datenblatt!$B$7,M103=Datenblatt!$B$7,NOT(M105=Datenblatt!$B$7)),"b","")))</f>
        <v/>
      </c>
      <c r="Q104" s="19" t="str">
        <f t="shared" si="49"/>
        <v/>
      </c>
      <c r="R104" s="124" t="str">
        <f>IF(I104="","",IF(AND(OR(J104="Krankenstand",J104="Urlaub",J104=""), AND(G104=0,NOT(I104=""))),Datenblatt!$B$7,""))</f>
        <v/>
      </c>
      <c r="S104" s="19" t="str">
        <f>IF(OR(J104="Krankenstand",J104="Urlaub"),"",IF(J104="","",VLOOKUP(D104,Dienste!C:W,21,)))</f>
        <v/>
      </c>
      <c r="T104" s="18" t="str">
        <f>IF(OR(J104="Krankenstand",J104="Urlaub"),"",IF(J104="","",VLOOKUP(D104,Dienste!C:W,5,)))</f>
        <v/>
      </c>
      <c r="U104" s="18" t="str">
        <f>IF(OR(J104="Krankenstand",J104="Urlaub"),"",IF(J104="","",VLOOKUP(D104,Dienste!C:W,6,)))</f>
        <v/>
      </c>
      <c r="V104" s="18" t="str">
        <f>IF(OR(J104="Krankenstand",J104="Urlaub"),"",IF(J104="","",VLOOKUP(D104,Dienste!C:W,7,)))</f>
        <v/>
      </c>
      <c r="W104" s="18" t="str">
        <f>IF(OR(J104="Krankenstand",J104="Urlaub"),"",IF(J104="","",VLOOKUP(D104,Dienste!C:W,11,)))</f>
        <v/>
      </c>
      <c r="X104" s="18" t="str">
        <f>IF(OR(J104="Krankenstand",J104="Urlaub"),"",IF(J104="","",VLOOKUP(D104,Dienste!C:W,12,)))</f>
        <v/>
      </c>
      <c r="Y104" s="19" t="str">
        <f>IF(OR(J104="Krankenstand",J104="Urlaub"),"",IF(J104="","",VLOOKUP(D104,Dienste!C:W,14,)))</f>
        <v/>
      </c>
      <c r="Z104" s="20" t="str">
        <f>IF(OR(J104="Krankenstand",J104="Urlaub"),"",IF(J104="","",VLOOKUP(D104,Dienste!C:W,15,)))</f>
        <v/>
      </c>
      <c r="AA104" s="124" t="str">
        <f t="shared" si="40"/>
        <v/>
      </c>
      <c r="AB104" s="19" t="str">
        <f t="shared" si="41"/>
        <v/>
      </c>
      <c r="AC104" s="126" t="str">
        <f>_xlfn.CONCAT(_xlfn.CONCAT(IF(I104="","",_xlfn.CONCAT("FT: ",I104,IF(J104="","","; "))),IF(B104&lt;Datenblatt!$B$9,"",IF(B104="","",IF(NOT(J104=""),SUBSTITUTE(SUBSTITUTE(SUBSTITUTE(J104," mR","")," oR","")," O",""),"")))),IF(AF104="","",_xlfn.CONCAT(CHAR(10),"; ",AF104)))</f>
        <v/>
      </c>
      <c r="AD104" s="124" t="str">
        <f t="shared" si="50"/>
        <v/>
      </c>
      <c r="AE104" s="19">
        <f t="shared" si="42"/>
        <v>0</v>
      </c>
      <c r="AF104" s="156"/>
    </row>
    <row r="105" spans="2:32" s="9" customFormat="1" ht="13">
      <c r="B105" s="6">
        <f t="shared" si="43"/>
        <v>44644</v>
      </c>
      <c r="C105" s="45">
        <f>SMALL(Daten!W:W,COUNTIF(Daten!W:W,"&lt;"&amp;Stundenaufzeichnung!B105+1))</f>
        <v>44578</v>
      </c>
      <c r="D105" s="45" t="str">
        <f t="shared" si="38"/>
        <v/>
      </c>
      <c r="E105" s="8">
        <f t="shared" si="39"/>
        <v>6</v>
      </c>
      <c r="F105" s="8">
        <f t="shared" si="44"/>
        <v>4</v>
      </c>
      <c r="G105" s="8">
        <f>IF(B105="","",VLOOKUP(E105,Datenblatt!$L$2:$N$8,3,FALSE))</f>
        <v>0</v>
      </c>
      <c r="H105" s="8" t="str">
        <f t="shared" si="45"/>
        <v/>
      </c>
      <c r="I105" s="11" t="str">
        <f>IFERROR(VLOOKUP(B105,Datenblatt!$E:$F,2,FALSE),"")</f>
        <v/>
      </c>
      <c r="J105" s="113"/>
      <c r="K105" s="19">
        <f>IF(B105&lt;Datenblatt!$B$9,"",IF(B105="","",IF(G105=0,Datenblatt!$B$7,"")))</f>
        <v>6.67</v>
      </c>
      <c r="L105" s="19" t="str">
        <f t="shared" si="46"/>
        <v/>
      </c>
      <c r="M105" s="124" t="str">
        <f t="shared" si="47"/>
        <v/>
      </c>
      <c r="N105" s="124" t="str">
        <f>IF(AND(L105=Datenblatt!$B$7,NOT(L104=Datenblatt!$B$7),NOT(L106=Datenblatt!$B$7)),"y",IF(AND(L105=Datenblatt!$B$7,L106=Datenblatt!$B$7,NOT(L104=Datenblatt!$B$7)),"a",IF(AND(L105=Datenblatt!$B$7,L104=Datenblatt!$B$7,NOT(L106=Datenblatt!$B$7)),"b","")))</f>
        <v/>
      </c>
      <c r="O105" s="19" t="str">
        <f t="shared" si="48"/>
        <v/>
      </c>
      <c r="P105" s="124" t="str">
        <f>IF(AND(M105=Datenblatt!$B$7,NOT(M104=Datenblatt!$B$7),NOT(M106=Datenblatt!$B$7)),"y",IF(AND(M105=Datenblatt!$B$7,M106=Datenblatt!$B$7,NOT(M104=Datenblatt!$B$7)),"a",IF(AND(M105=Datenblatt!$B$7,M104=Datenblatt!$B$7,NOT(M106=Datenblatt!$B$7)),"b","")))</f>
        <v/>
      </c>
      <c r="Q105" s="19" t="str">
        <f t="shared" si="49"/>
        <v/>
      </c>
      <c r="R105" s="124" t="str">
        <f>IF(I105="","",IF(AND(OR(J105="Krankenstand",J105="Urlaub",J105=""), AND(G105=0,NOT(I105=""))),Datenblatt!$B$7,""))</f>
        <v/>
      </c>
      <c r="S105" s="19" t="str">
        <f>IF(OR(J105="Krankenstand",J105="Urlaub"),"",IF(J105="","",VLOOKUP(D105,Dienste!C:W,21,)))</f>
        <v/>
      </c>
      <c r="T105" s="18" t="str">
        <f>IF(OR(J105="Krankenstand",J105="Urlaub"),"",IF(J105="","",VLOOKUP(D105,Dienste!C:W,5,)))</f>
        <v/>
      </c>
      <c r="U105" s="18" t="str">
        <f>IF(OR(J105="Krankenstand",J105="Urlaub"),"",IF(J105="","",VLOOKUP(D105,Dienste!C:W,6,)))</f>
        <v/>
      </c>
      <c r="V105" s="18" t="str">
        <f>IF(OR(J105="Krankenstand",J105="Urlaub"),"",IF(J105="","",VLOOKUP(D105,Dienste!C:W,7,)))</f>
        <v/>
      </c>
      <c r="W105" s="18" t="str">
        <f>IF(OR(J105="Krankenstand",J105="Urlaub"),"",IF(J105="","",VLOOKUP(D105,Dienste!C:W,11,)))</f>
        <v/>
      </c>
      <c r="X105" s="18" t="str">
        <f>IF(OR(J105="Krankenstand",J105="Urlaub"),"",IF(J105="","",VLOOKUP(D105,Dienste!C:W,12,)))</f>
        <v/>
      </c>
      <c r="Y105" s="19" t="str">
        <f>IF(OR(J105="Krankenstand",J105="Urlaub"),"",IF(J105="","",VLOOKUP(D105,Dienste!C:W,14,)))</f>
        <v/>
      </c>
      <c r="Z105" s="20" t="str">
        <f>IF(OR(J105="Krankenstand",J105="Urlaub"),"",IF(J105="","",VLOOKUP(D105,Dienste!C:W,15,)))</f>
        <v/>
      </c>
      <c r="AA105" s="124" t="str">
        <f t="shared" si="40"/>
        <v/>
      </c>
      <c r="AB105" s="19" t="str">
        <f t="shared" si="41"/>
        <v/>
      </c>
      <c r="AC105" s="126" t="str">
        <f>_xlfn.CONCAT(_xlfn.CONCAT(IF(I105="","",_xlfn.CONCAT("FT: ",I105,IF(J105="","","; "))),IF(B105&lt;Datenblatt!$B$9,"",IF(B105="","",IF(NOT(J105=""),SUBSTITUTE(SUBSTITUTE(SUBSTITUTE(J105," mR","")," oR","")," O",""),"")))),IF(AF105="","",_xlfn.CONCAT(CHAR(10),"; ",AF105)))</f>
        <v/>
      </c>
      <c r="AD105" s="124" t="str">
        <f t="shared" si="50"/>
        <v/>
      </c>
      <c r="AE105" s="19">
        <f t="shared" si="42"/>
        <v>0</v>
      </c>
      <c r="AF105" s="156"/>
    </row>
    <row r="106" spans="2:32" s="9" customFormat="1" ht="13">
      <c r="B106" s="6">
        <f t="shared" si="43"/>
        <v>44645</v>
      </c>
      <c r="C106" s="45">
        <f>SMALL(Daten!W:W,COUNTIF(Daten!W:W,"&lt;"&amp;Stundenaufzeichnung!B106+1))</f>
        <v>44578</v>
      </c>
      <c r="D106" s="45" t="str">
        <f t="shared" si="38"/>
        <v/>
      </c>
      <c r="E106" s="8">
        <f t="shared" si="39"/>
        <v>7</v>
      </c>
      <c r="F106" s="8">
        <f t="shared" si="44"/>
        <v>5</v>
      </c>
      <c r="G106" s="8">
        <f>IF(B106="","",VLOOKUP(E106,Datenblatt!$L$2:$N$8,3,FALSE))</f>
        <v>0</v>
      </c>
      <c r="H106" s="8" t="str">
        <f t="shared" si="45"/>
        <v/>
      </c>
      <c r="I106" s="11" t="str">
        <f>IFERROR(VLOOKUP(B106,Datenblatt!$E:$F,2,FALSE),"")</f>
        <v/>
      </c>
      <c r="J106" s="113"/>
      <c r="K106" s="19">
        <f>IF(B106&lt;Datenblatt!$B$9,"",IF(B106="","",IF(G106=0,Datenblatt!$B$7,"")))</f>
        <v>6.67</v>
      </c>
      <c r="L106" s="19" t="str">
        <f t="shared" si="46"/>
        <v/>
      </c>
      <c r="M106" s="124" t="str">
        <f t="shared" si="47"/>
        <v/>
      </c>
      <c r="N106" s="124" t="str">
        <f>IF(AND(L106=Datenblatt!$B$7,NOT(L105=Datenblatt!$B$7),NOT(L107=Datenblatt!$B$7)),"y",IF(AND(L106=Datenblatt!$B$7,L107=Datenblatt!$B$7,NOT(L105=Datenblatt!$B$7)),"a",IF(AND(L106=Datenblatt!$B$7,L105=Datenblatt!$B$7,NOT(L107=Datenblatt!$B$7)),"b","")))</f>
        <v/>
      </c>
      <c r="O106" s="19" t="str">
        <f t="shared" si="48"/>
        <v/>
      </c>
      <c r="P106" s="124" t="str">
        <f>IF(AND(M106=Datenblatt!$B$7,NOT(M105=Datenblatt!$B$7),NOT(M107=Datenblatt!$B$7)),"y",IF(AND(M106=Datenblatt!$B$7,M107=Datenblatt!$B$7,NOT(M105=Datenblatt!$B$7)),"a",IF(AND(M106=Datenblatt!$B$7,M105=Datenblatt!$B$7,NOT(M107=Datenblatt!$B$7)),"b","")))</f>
        <v/>
      </c>
      <c r="Q106" s="19" t="str">
        <f t="shared" si="49"/>
        <v/>
      </c>
      <c r="R106" s="124" t="str">
        <f>IF(I106="","",IF(AND(OR(J106="Krankenstand",J106="Urlaub",J106=""), AND(G106=0,NOT(I106=""))),Datenblatt!$B$7,""))</f>
        <v/>
      </c>
      <c r="S106" s="19" t="str">
        <f>IF(OR(J106="Krankenstand",J106="Urlaub"),"",IF(J106="","",VLOOKUP(D106,Dienste!C:W,21,)))</f>
        <v/>
      </c>
      <c r="T106" s="18" t="str">
        <f>IF(OR(J106="Krankenstand",J106="Urlaub"),"",IF(J106="","",VLOOKUP(D106,Dienste!C:W,5,)))</f>
        <v/>
      </c>
      <c r="U106" s="18" t="str">
        <f>IF(OR(J106="Krankenstand",J106="Urlaub"),"",IF(J106="","",VLOOKUP(D106,Dienste!C:W,6,)))</f>
        <v/>
      </c>
      <c r="V106" s="18" t="str">
        <f>IF(OR(J106="Krankenstand",J106="Urlaub"),"",IF(J106="","",VLOOKUP(D106,Dienste!C:W,7,)))</f>
        <v/>
      </c>
      <c r="W106" s="18" t="str">
        <f>IF(OR(J106="Krankenstand",J106="Urlaub"),"",IF(J106="","",VLOOKUP(D106,Dienste!C:W,11,)))</f>
        <v/>
      </c>
      <c r="X106" s="18" t="str">
        <f>IF(OR(J106="Krankenstand",J106="Urlaub"),"",IF(J106="","",VLOOKUP(D106,Dienste!C:W,12,)))</f>
        <v/>
      </c>
      <c r="Y106" s="19" t="str">
        <f>IF(OR(J106="Krankenstand",J106="Urlaub"),"",IF(J106="","",VLOOKUP(D106,Dienste!C:W,14,)))</f>
        <v/>
      </c>
      <c r="Z106" s="20" t="str">
        <f>IF(OR(J106="Krankenstand",J106="Urlaub"),"",IF(J106="","",VLOOKUP(D106,Dienste!C:W,15,)))</f>
        <v/>
      </c>
      <c r="AA106" s="124" t="str">
        <f t="shared" si="40"/>
        <v/>
      </c>
      <c r="AB106" s="19" t="str">
        <f t="shared" si="41"/>
        <v/>
      </c>
      <c r="AC106" s="126" t="str">
        <f>_xlfn.CONCAT(_xlfn.CONCAT(IF(I106="","",_xlfn.CONCAT("FT: ",I106,IF(J106="","","; "))),IF(B106&lt;Datenblatt!$B$9,"",IF(B106="","",IF(NOT(J106=""),SUBSTITUTE(SUBSTITUTE(SUBSTITUTE(J106," mR","")," oR","")," O",""),"")))),IF(AF106="","",_xlfn.CONCAT(CHAR(10),"; ",AF106)))</f>
        <v/>
      </c>
      <c r="AD106" s="124" t="str">
        <f t="shared" si="50"/>
        <v/>
      </c>
      <c r="AE106" s="19">
        <f t="shared" si="42"/>
        <v>0</v>
      </c>
      <c r="AF106" s="156"/>
    </row>
    <row r="107" spans="2:32" s="9" customFormat="1" ht="13">
      <c r="B107" s="6">
        <f t="shared" si="43"/>
        <v>44646</v>
      </c>
      <c r="C107" s="45">
        <f>SMALL(Daten!W:W,COUNTIF(Daten!W:W,"&lt;"&amp;Stundenaufzeichnung!B107+1))</f>
        <v>44578</v>
      </c>
      <c r="D107" s="45" t="str">
        <f t="shared" si="38"/>
        <v/>
      </c>
      <c r="E107" s="8">
        <f t="shared" si="39"/>
        <v>1</v>
      </c>
      <c r="F107" s="8">
        <f t="shared" si="44"/>
        <v>6</v>
      </c>
      <c r="G107" s="8">
        <f>IF(B107="","",VLOOKUP(E107,Datenblatt!$L$2:$N$8,3,FALSE))</f>
        <v>0</v>
      </c>
      <c r="H107" s="8" t="str">
        <f t="shared" si="45"/>
        <v/>
      </c>
      <c r="I107" s="11" t="str">
        <f>IFERROR(VLOOKUP(B107,Datenblatt!$E:$F,2,FALSE),"")</f>
        <v/>
      </c>
      <c r="J107" s="113"/>
      <c r="K107" s="19">
        <f>IF(B107&lt;Datenblatt!$B$9,"",IF(B107="","",IF(G107=0,Datenblatt!$B$7,"")))</f>
        <v>6.67</v>
      </c>
      <c r="L107" s="19" t="str">
        <f t="shared" si="46"/>
        <v/>
      </c>
      <c r="M107" s="124" t="str">
        <f t="shared" si="47"/>
        <v/>
      </c>
      <c r="N107" s="124" t="str">
        <f>IF(AND(L107=Datenblatt!$B$7,NOT(L106=Datenblatt!$B$7),NOT(L108=Datenblatt!$B$7)),"y",IF(AND(L107=Datenblatt!$B$7,L108=Datenblatt!$B$7,NOT(L106=Datenblatt!$B$7)),"a",IF(AND(L107=Datenblatt!$B$7,L106=Datenblatt!$B$7,NOT(L108=Datenblatt!$B$7)),"b","")))</f>
        <v/>
      </c>
      <c r="O107" s="19" t="str">
        <f t="shared" si="48"/>
        <v/>
      </c>
      <c r="P107" s="124" t="str">
        <f>IF(AND(M107=Datenblatt!$B$7,NOT(M106=Datenblatt!$B$7),NOT(M108=Datenblatt!$B$7)),"y",IF(AND(M107=Datenblatt!$B$7,M108=Datenblatt!$B$7,NOT(M106=Datenblatt!$B$7)),"a",IF(AND(M107=Datenblatt!$B$7,M106=Datenblatt!$B$7,NOT(M108=Datenblatt!$B$7)),"b","")))</f>
        <v/>
      </c>
      <c r="Q107" s="19" t="str">
        <f t="shared" si="49"/>
        <v/>
      </c>
      <c r="R107" s="124" t="str">
        <f>IF(I107="","",IF(AND(OR(J107="Krankenstand",J107="Urlaub",J107=""), AND(G107=0,NOT(I107=""))),Datenblatt!$B$7,""))</f>
        <v/>
      </c>
      <c r="S107" s="19" t="str">
        <f>IF(OR(J107="Krankenstand",J107="Urlaub"),"",IF(J107="","",VLOOKUP(D107,Dienste!C:W,21,)))</f>
        <v/>
      </c>
      <c r="T107" s="18" t="str">
        <f>IF(OR(J107="Krankenstand",J107="Urlaub"),"",IF(J107="","",VLOOKUP(D107,Dienste!C:W,5,)))</f>
        <v/>
      </c>
      <c r="U107" s="18" t="str">
        <f>IF(OR(J107="Krankenstand",J107="Urlaub"),"",IF(J107="","",VLOOKUP(D107,Dienste!C:W,6,)))</f>
        <v/>
      </c>
      <c r="V107" s="18" t="str">
        <f>IF(OR(J107="Krankenstand",J107="Urlaub"),"",IF(J107="","",VLOOKUP(D107,Dienste!C:W,7,)))</f>
        <v/>
      </c>
      <c r="W107" s="18" t="str">
        <f>IF(OR(J107="Krankenstand",J107="Urlaub"),"",IF(J107="","",VLOOKUP(D107,Dienste!C:W,11,)))</f>
        <v/>
      </c>
      <c r="X107" s="18" t="str">
        <f>IF(OR(J107="Krankenstand",J107="Urlaub"),"",IF(J107="","",VLOOKUP(D107,Dienste!C:W,12,)))</f>
        <v/>
      </c>
      <c r="Y107" s="19" t="str">
        <f>IF(OR(J107="Krankenstand",J107="Urlaub"),"",IF(J107="","",VLOOKUP(D107,Dienste!C:W,14,)))</f>
        <v/>
      </c>
      <c r="Z107" s="20" t="str">
        <f>IF(OR(J107="Krankenstand",J107="Urlaub"),"",IF(J107="","",VLOOKUP(D107,Dienste!C:W,15,)))</f>
        <v/>
      </c>
      <c r="AA107" s="124" t="str">
        <f t="shared" si="40"/>
        <v/>
      </c>
      <c r="AB107" s="19" t="str">
        <f t="shared" si="41"/>
        <v/>
      </c>
      <c r="AC107" s="126" t="str">
        <f>_xlfn.CONCAT(_xlfn.CONCAT(IF(I107="","",_xlfn.CONCAT("FT: ",I107,IF(J107="","","; "))),IF(B107&lt;Datenblatt!$B$9,"",IF(B107="","",IF(NOT(J107=""),SUBSTITUTE(SUBSTITUTE(SUBSTITUTE(J107," mR","")," oR","")," O",""),"")))),IF(AF107="","",_xlfn.CONCAT(CHAR(10),"; ",AF107)))</f>
        <v/>
      </c>
      <c r="AD107" s="124" t="str">
        <f t="shared" si="50"/>
        <v/>
      </c>
      <c r="AE107" s="19">
        <f t="shared" si="42"/>
        <v>0</v>
      </c>
      <c r="AF107" s="156"/>
    </row>
    <row r="108" spans="2:32" s="9" customFormat="1" ht="13">
      <c r="B108" s="6">
        <f t="shared" si="43"/>
        <v>44647</v>
      </c>
      <c r="C108" s="45">
        <f>SMALL(Daten!W:W,COUNTIF(Daten!W:W,"&lt;"&amp;Stundenaufzeichnung!B108+1))</f>
        <v>44578</v>
      </c>
      <c r="D108" s="45" t="str">
        <f t="shared" si="38"/>
        <v/>
      </c>
      <c r="E108" s="8">
        <f t="shared" si="39"/>
        <v>2</v>
      </c>
      <c r="F108" s="8">
        <f t="shared" si="44"/>
        <v>7</v>
      </c>
      <c r="G108" s="8">
        <f>IF(B108="","",VLOOKUP(E108,Datenblatt!$L$2:$N$8,3,FALSE))</f>
        <v>1</v>
      </c>
      <c r="H108" s="8" t="str">
        <f t="shared" si="45"/>
        <v>x</v>
      </c>
      <c r="I108" s="11" t="str">
        <f>IFERROR(VLOOKUP(B108,Datenblatt!$E:$F,2,FALSE),"")</f>
        <v/>
      </c>
      <c r="J108" s="113"/>
      <c r="K108" s="19" t="str">
        <f>IF(B108&lt;Datenblatt!$B$9,"",IF(B108="","",IF(G108=0,Datenblatt!$B$7,"")))</f>
        <v/>
      </c>
      <c r="L108" s="19" t="str">
        <f t="shared" si="46"/>
        <v/>
      </c>
      <c r="M108" s="124" t="str">
        <f t="shared" si="47"/>
        <v/>
      </c>
      <c r="N108" s="124" t="str">
        <f>IF(AND(L108=Datenblatt!$B$7,NOT(L107=Datenblatt!$B$7),NOT(L109=Datenblatt!$B$7)),"y",IF(AND(L108=Datenblatt!$B$7,L109=Datenblatt!$B$7,NOT(L107=Datenblatt!$B$7)),"a",IF(AND(L108=Datenblatt!$B$7,L107=Datenblatt!$B$7,NOT(L109=Datenblatt!$B$7)),"b","")))</f>
        <v/>
      </c>
      <c r="O108" s="19" t="str">
        <f t="shared" si="48"/>
        <v/>
      </c>
      <c r="P108" s="124" t="str">
        <f>IF(AND(M108=Datenblatt!$B$7,NOT(M107=Datenblatt!$B$7),NOT(M109=Datenblatt!$B$7)),"y",IF(AND(M108=Datenblatt!$B$7,M109=Datenblatt!$B$7,NOT(M107=Datenblatt!$B$7)),"a",IF(AND(M108=Datenblatt!$B$7,M107=Datenblatt!$B$7,NOT(M109=Datenblatt!$B$7)),"b","")))</f>
        <v/>
      </c>
      <c r="Q108" s="19" t="str">
        <f t="shared" si="49"/>
        <v/>
      </c>
      <c r="R108" s="124" t="str">
        <f>IF(I108="","",IF(AND(OR(J108="Krankenstand",J108="Urlaub",J108=""), AND(G108=0,NOT(I108=""))),Datenblatt!$B$7,""))</f>
        <v/>
      </c>
      <c r="S108" s="19" t="str">
        <f>IF(OR(J108="Krankenstand",J108="Urlaub"),"",IF(J108="","",VLOOKUP(D108,Dienste!C:W,21,)))</f>
        <v/>
      </c>
      <c r="T108" s="18" t="str">
        <f>IF(OR(J108="Krankenstand",J108="Urlaub"),"",IF(J108="","",VLOOKUP(D108,Dienste!C:W,5,)))</f>
        <v/>
      </c>
      <c r="U108" s="18" t="str">
        <f>IF(OR(J108="Krankenstand",J108="Urlaub"),"",IF(J108="","",VLOOKUP(D108,Dienste!C:W,6,)))</f>
        <v/>
      </c>
      <c r="V108" s="18" t="str">
        <f>IF(OR(J108="Krankenstand",J108="Urlaub"),"",IF(J108="","",VLOOKUP(D108,Dienste!C:W,7,)))</f>
        <v/>
      </c>
      <c r="W108" s="18" t="str">
        <f>IF(OR(J108="Krankenstand",J108="Urlaub"),"",IF(J108="","",VLOOKUP(D108,Dienste!C:W,11,)))</f>
        <v/>
      </c>
      <c r="X108" s="18" t="str">
        <f>IF(OR(J108="Krankenstand",J108="Urlaub"),"",IF(J108="","",VLOOKUP(D108,Dienste!C:W,12,)))</f>
        <v/>
      </c>
      <c r="Y108" s="19" t="str">
        <f>IF(OR(J108="Krankenstand",J108="Urlaub"),"",IF(J108="","",VLOOKUP(D108,Dienste!C:W,14,)))</f>
        <v/>
      </c>
      <c r="Z108" s="20" t="str">
        <f>IF(OR(J108="Krankenstand",J108="Urlaub"),"",IF(J108="","",VLOOKUP(D108,Dienste!C:W,15,)))</f>
        <v/>
      </c>
      <c r="AA108" s="124" t="str">
        <f t="shared" si="40"/>
        <v/>
      </c>
      <c r="AB108" s="19" t="str">
        <f t="shared" si="41"/>
        <v/>
      </c>
      <c r="AC108" s="126" t="str">
        <f>_xlfn.CONCAT(_xlfn.CONCAT(IF(I108="","",_xlfn.CONCAT("FT: ",I108,IF(J108="","","; "))),IF(B108&lt;Datenblatt!$B$9,"",IF(B108="","",IF(NOT(J108=""),SUBSTITUTE(SUBSTITUTE(SUBSTITUTE(J108," mR","")," oR","")," O",""),"")))),IF(AF108="","",_xlfn.CONCAT(CHAR(10),"; ",AF108)))</f>
        <v/>
      </c>
      <c r="AD108" s="124" t="str">
        <f t="shared" si="50"/>
        <v/>
      </c>
      <c r="AE108" s="19">
        <f t="shared" si="42"/>
        <v>0</v>
      </c>
      <c r="AF108" s="156"/>
    </row>
    <row r="109" spans="2:32" s="9" customFormat="1" ht="13">
      <c r="B109" s="6">
        <f t="shared" si="43"/>
        <v>44648</v>
      </c>
      <c r="C109" s="45">
        <f>SMALL(Daten!W:W,COUNTIF(Daten!W:W,"&lt;"&amp;Stundenaufzeichnung!B109+1))</f>
        <v>44578</v>
      </c>
      <c r="D109" s="45" t="str">
        <f t="shared" si="38"/>
        <v/>
      </c>
      <c r="E109" s="8">
        <f t="shared" si="39"/>
        <v>3</v>
      </c>
      <c r="F109" s="8">
        <f t="shared" si="44"/>
        <v>1</v>
      </c>
      <c r="G109" s="8">
        <f>IF(B109="","",VLOOKUP(E109,Datenblatt!$L$2:$N$8,3,FALSE))</f>
        <v>0</v>
      </c>
      <c r="H109" s="8" t="str">
        <f t="shared" si="45"/>
        <v/>
      </c>
      <c r="I109" s="11" t="str">
        <f>IFERROR(VLOOKUP(B109,Datenblatt!$E:$F,2,FALSE),"")</f>
        <v/>
      </c>
      <c r="J109" s="113"/>
      <c r="K109" s="19">
        <f>IF(B109&lt;Datenblatt!$B$9,"",IF(B109="","",IF(G109=0,Datenblatt!$B$7,"")))</f>
        <v>6.67</v>
      </c>
      <c r="L109" s="19" t="str">
        <f t="shared" si="46"/>
        <v/>
      </c>
      <c r="M109" s="124" t="str">
        <f t="shared" si="47"/>
        <v/>
      </c>
      <c r="N109" s="124" t="str">
        <f>IF(AND(L109=Datenblatt!$B$7,NOT(L108=Datenblatt!$B$7),NOT(L110=Datenblatt!$B$7)),"y",IF(AND(L109=Datenblatt!$B$7,L110=Datenblatt!$B$7,NOT(L108=Datenblatt!$B$7)),"a",IF(AND(L109=Datenblatt!$B$7,L108=Datenblatt!$B$7,NOT(L110=Datenblatt!$B$7)),"b","")))</f>
        <v/>
      </c>
      <c r="O109" s="19" t="str">
        <f t="shared" si="48"/>
        <v/>
      </c>
      <c r="P109" s="124" t="str">
        <f>IF(AND(M109=Datenblatt!$B$7,NOT(M108=Datenblatt!$B$7),NOT(M110=Datenblatt!$B$7)),"y",IF(AND(M109=Datenblatt!$B$7,M110=Datenblatt!$B$7,NOT(M108=Datenblatt!$B$7)),"a",IF(AND(M109=Datenblatt!$B$7,M108=Datenblatt!$B$7,NOT(M110=Datenblatt!$B$7)),"b","")))</f>
        <v/>
      </c>
      <c r="Q109" s="19" t="str">
        <f t="shared" si="49"/>
        <v/>
      </c>
      <c r="R109" s="124" t="str">
        <f>IF(I109="","",IF(AND(OR(J109="Krankenstand",J109="Urlaub",J109=""), AND(G109=0,NOT(I109=""))),Datenblatt!$B$7,""))</f>
        <v/>
      </c>
      <c r="S109" s="19" t="str">
        <f>IF(OR(J109="Krankenstand",J109="Urlaub"),"",IF(J109="","",VLOOKUP(D109,Dienste!C:W,21,)))</f>
        <v/>
      </c>
      <c r="T109" s="18" t="str">
        <f>IF(OR(J109="Krankenstand",J109="Urlaub"),"",IF(J109="","",VLOOKUP(D109,Dienste!C:W,5,)))</f>
        <v/>
      </c>
      <c r="U109" s="18" t="str">
        <f>IF(OR(J109="Krankenstand",J109="Urlaub"),"",IF(J109="","",VLOOKUP(D109,Dienste!C:W,6,)))</f>
        <v/>
      </c>
      <c r="V109" s="18" t="str">
        <f>IF(OR(J109="Krankenstand",J109="Urlaub"),"",IF(J109="","",VLOOKUP(D109,Dienste!C:W,7,)))</f>
        <v/>
      </c>
      <c r="W109" s="18" t="str">
        <f>IF(OR(J109="Krankenstand",J109="Urlaub"),"",IF(J109="","",VLOOKUP(D109,Dienste!C:W,11,)))</f>
        <v/>
      </c>
      <c r="X109" s="18" t="str">
        <f>IF(OR(J109="Krankenstand",J109="Urlaub"),"",IF(J109="","",VLOOKUP(D109,Dienste!C:W,12,)))</f>
        <v/>
      </c>
      <c r="Y109" s="19" t="str">
        <f>IF(OR(J109="Krankenstand",J109="Urlaub"),"",IF(J109="","",VLOOKUP(D109,Dienste!C:W,14,)))</f>
        <v/>
      </c>
      <c r="Z109" s="20" t="str">
        <f>IF(OR(J109="Krankenstand",J109="Urlaub"),"",IF(J109="","",VLOOKUP(D109,Dienste!C:W,15,)))</f>
        <v/>
      </c>
      <c r="AA109" s="124" t="str">
        <f t="shared" si="40"/>
        <v/>
      </c>
      <c r="AB109" s="19" t="str">
        <f t="shared" si="41"/>
        <v/>
      </c>
      <c r="AC109" s="126" t="str">
        <f>_xlfn.CONCAT(_xlfn.CONCAT(IF(I109="","",_xlfn.CONCAT("FT: ",I109,IF(J109="","","; "))),IF(B109&lt;Datenblatt!$B$9,"",IF(B109="","",IF(NOT(J109=""),SUBSTITUTE(SUBSTITUTE(SUBSTITUTE(J109," mR","")," oR","")," O",""),"")))),IF(AF109="","",_xlfn.CONCAT(CHAR(10),"; ",AF109)))</f>
        <v/>
      </c>
      <c r="AD109" s="124" t="str">
        <f t="shared" si="50"/>
        <v/>
      </c>
      <c r="AE109" s="19">
        <f t="shared" si="42"/>
        <v>0</v>
      </c>
      <c r="AF109" s="156"/>
    </row>
    <row r="110" spans="2:32" s="9" customFormat="1" ht="13">
      <c r="B110" s="6">
        <f>IF(B109="","",IF(DAY(B109+1)&lt;29,"",B109+1))</f>
        <v>44649</v>
      </c>
      <c r="C110" s="45">
        <f>SMALL(Daten!W:W,COUNTIF(Daten!W:W,"&lt;"&amp;Stundenaufzeichnung!B110+1))</f>
        <v>44578</v>
      </c>
      <c r="D110" s="45" t="str">
        <f t="shared" si="38"/>
        <v/>
      </c>
      <c r="E110" s="8">
        <f t="shared" si="39"/>
        <v>4</v>
      </c>
      <c r="F110" s="8">
        <f>IF(B110="","",MOD(E110+$F$3,7)+1)</f>
        <v>2</v>
      </c>
      <c r="G110" s="8">
        <f>IF(B110="","",VLOOKUP(E110,Datenblatt!$L$2:$N$8,3,FALSE))</f>
        <v>0</v>
      </c>
      <c r="H110" s="8" t="str">
        <f t="shared" si="45"/>
        <v/>
      </c>
      <c r="I110" s="11" t="str">
        <f>IFERROR(VLOOKUP(B110,Datenblatt!$E:$F,2,FALSE),"")</f>
        <v/>
      </c>
      <c r="J110" s="113"/>
      <c r="K110" s="19">
        <f>IF(B110&lt;Datenblatt!$B$9,"",IF(B110="","",IF(G110=0,Datenblatt!$B$7,"")))</f>
        <v>6.67</v>
      </c>
      <c r="L110" s="19" t="str">
        <f t="shared" si="46"/>
        <v/>
      </c>
      <c r="M110" s="124" t="str">
        <f t="shared" si="47"/>
        <v/>
      </c>
      <c r="N110" s="124" t="str">
        <f>IF(AND(L110=Datenblatt!$B$7,NOT(L109=Datenblatt!$B$7),NOT(L111=Datenblatt!$B$7)),"y",IF(AND(L110=Datenblatt!$B$7,L111=Datenblatt!$B$7,NOT(L109=Datenblatt!$B$7)),"a",IF(AND(L110=Datenblatt!$B$7,L109=Datenblatt!$B$7,NOT(L111=Datenblatt!$B$7)),"b","")))</f>
        <v/>
      </c>
      <c r="O110" s="19" t="str">
        <f t="shared" si="48"/>
        <v/>
      </c>
      <c r="P110" s="124" t="str">
        <f>IF(AND(M110=Datenblatt!$B$7,NOT(M109=Datenblatt!$B$7),NOT(M111=Datenblatt!$B$7)),"y",IF(AND(M110=Datenblatt!$B$7,M111=Datenblatt!$B$7,NOT(M109=Datenblatt!$B$7)),"a",IF(AND(M110=Datenblatt!$B$7,M109=Datenblatt!$B$7,NOT(M111=Datenblatt!$B$7)),"b","")))</f>
        <v/>
      </c>
      <c r="Q110" s="19" t="str">
        <f t="shared" si="49"/>
        <v/>
      </c>
      <c r="R110" s="124" t="str">
        <f>IF(I110="","",IF(AND(OR(J110="Krankenstand",J110="Urlaub",J110=""), AND(G110=0,NOT(I110=""))),Datenblatt!$B$7,""))</f>
        <v/>
      </c>
      <c r="S110" s="19" t="str">
        <f>IF(OR(J110="Krankenstand",J110="Urlaub"),"",IF(J110="","",VLOOKUP(D110,Dienste!C:W,21,)))</f>
        <v/>
      </c>
      <c r="T110" s="18" t="str">
        <f>IF(OR(J110="Krankenstand",J110="Urlaub"),"",IF(J110="","",VLOOKUP(D110,Dienste!C:W,5,)))</f>
        <v/>
      </c>
      <c r="U110" s="18" t="str">
        <f>IF(OR(J110="Krankenstand",J110="Urlaub"),"",IF(J110="","",VLOOKUP(D110,Dienste!C:W,6,)))</f>
        <v/>
      </c>
      <c r="V110" s="18" t="str">
        <f>IF(OR(J110="Krankenstand",J110="Urlaub"),"",IF(J110="","",VLOOKUP(D110,Dienste!C:W,7,)))</f>
        <v/>
      </c>
      <c r="W110" s="18" t="str">
        <f>IF(OR(J110="Krankenstand",J110="Urlaub"),"",IF(J110="","",VLOOKUP(D110,Dienste!C:W,11,)))</f>
        <v/>
      </c>
      <c r="X110" s="18" t="str">
        <f>IF(OR(J110="Krankenstand",J110="Urlaub"),"",IF(J110="","",VLOOKUP(D110,Dienste!C:W,12,)))</f>
        <v/>
      </c>
      <c r="Y110" s="19" t="str">
        <f>IF(OR(J110="Krankenstand",J110="Urlaub"),"",IF(J110="","",VLOOKUP(D110,Dienste!C:W,14,)))</f>
        <v/>
      </c>
      <c r="Z110" s="20" t="str">
        <f>IF(OR(J110="Krankenstand",J110="Urlaub"),"",IF(J110="","",VLOOKUP(D110,Dienste!C:W,15,)))</f>
        <v/>
      </c>
      <c r="AA110" s="124" t="str">
        <f t="shared" si="40"/>
        <v/>
      </c>
      <c r="AB110" s="19" t="str">
        <f t="shared" si="41"/>
        <v/>
      </c>
      <c r="AC110" s="126" t="str">
        <f>_xlfn.CONCAT(_xlfn.CONCAT(IF(I110="","",_xlfn.CONCAT("FT: ",I110,IF(J110="","","; "))),IF(B110&lt;Datenblatt!$B$9,"",IF(B110="","",IF(NOT(J110=""),SUBSTITUTE(SUBSTITUTE(SUBSTITUTE(J110," mR","")," oR","")," O",""),"")))),IF(AF110="","",_xlfn.CONCAT(CHAR(10),"; ",AF110)))</f>
        <v/>
      </c>
      <c r="AD110" s="124" t="str">
        <f t="shared" si="50"/>
        <v/>
      </c>
      <c r="AE110" s="19">
        <f t="shared" si="42"/>
        <v>0</v>
      </c>
      <c r="AF110" s="156"/>
    </row>
    <row r="111" spans="2:32" s="9" customFormat="1" ht="13">
      <c r="B111" s="6">
        <f>IF(B110="","",IF(DAY(B110+1)&lt;30,"",B110+1))</f>
        <v>44650</v>
      </c>
      <c r="C111" s="45">
        <f>SMALL(Daten!W:W,COUNTIF(Daten!W:W,"&lt;"&amp;Stundenaufzeichnung!B111+1))</f>
        <v>44578</v>
      </c>
      <c r="D111" s="45" t="str">
        <f t="shared" si="38"/>
        <v/>
      </c>
      <c r="E111" s="8">
        <f t="shared" si="39"/>
        <v>5</v>
      </c>
      <c r="F111" s="8">
        <f>IF(B111="","",MOD(E111+$F$3,7)+1)</f>
        <v>3</v>
      </c>
      <c r="G111" s="8">
        <f>IF(B111="","",VLOOKUP(E111,Datenblatt!$L$2:$N$8,3,FALSE))</f>
        <v>0</v>
      </c>
      <c r="H111" s="8" t="str">
        <f t="shared" si="45"/>
        <v/>
      </c>
      <c r="I111" s="11" t="str">
        <f>IFERROR(VLOOKUP(B111,Datenblatt!$E:$F,2,FALSE),"")</f>
        <v/>
      </c>
      <c r="J111" s="113"/>
      <c r="K111" s="19">
        <f>IF(B111&lt;Datenblatt!$B$9,"",IF(B111="","",IF(G111=0,Datenblatt!$B$7,"")))</f>
        <v>6.67</v>
      </c>
      <c r="L111" s="19" t="str">
        <f t="shared" si="46"/>
        <v/>
      </c>
      <c r="M111" s="124" t="str">
        <f t="shared" si="47"/>
        <v/>
      </c>
      <c r="N111" s="124" t="str">
        <f>IF(AND(L111=Datenblatt!$B$7,NOT(L110=Datenblatt!$B$7),NOT(L112=Datenblatt!$B$7)),"y",IF(AND(L111=Datenblatt!$B$7,L112=Datenblatt!$B$7,NOT(L110=Datenblatt!$B$7)),"a",IF(AND(L111=Datenblatt!$B$7,L110=Datenblatt!$B$7,NOT(L112=Datenblatt!$B$7)),"b","")))</f>
        <v/>
      </c>
      <c r="O111" s="19" t="str">
        <f t="shared" si="48"/>
        <v/>
      </c>
      <c r="P111" s="124" t="str">
        <f>IF(AND(M111=Datenblatt!$B$7,NOT(M110=Datenblatt!$B$7),NOT(M112=Datenblatt!$B$7)),"y",IF(AND(M111=Datenblatt!$B$7,M112=Datenblatt!$B$7,NOT(M110=Datenblatt!$B$7)),"a",IF(AND(M111=Datenblatt!$B$7,M110=Datenblatt!$B$7,NOT(M112=Datenblatt!$B$7)),"b","")))</f>
        <v/>
      </c>
      <c r="Q111" s="19" t="str">
        <f t="shared" si="49"/>
        <v/>
      </c>
      <c r="R111" s="124" t="str">
        <f>IF(I111="","",IF(AND(OR(J111="Krankenstand",J111="Urlaub",J111=""), AND(G111=0,NOT(I111=""))),Datenblatt!$B$7,""))</f>
        <v/>
      </c>
      <c r="S111" s="19" t="str">
        <f>IF(OR(J111="Krankenstand",J111="Urlaub"),"",IF(J111="","",VLOOKUP(D111,Dienste!C:W,21,)))</f>
        <v/>
      </c>
      <c r="T111" s="18" t="str">
        <f>IF(OR(J111="Krankenstand",J111="Urlaub"),"",IF(J111="","",VLOOKUP(D111,Dienste!C:W,5,)))</f>
        <v/>
      </c>
      <c r="U111" s="18" t="str">
        <f>IF(OR(J111="Krankenstand",J111="Urlaub"),"",IF(J111="","",VLOOKUP(D111,Dienste!C:W,6,)))</f>
        <v/>
      </c>
      <c r="V111" s="18" t="str">
        <f>IF(OR(J111="Krankenstand",J111="Urlaub"),"",IF(J111="","",VLOOKUP(D111,Dienste!C:W,7,)))</f>
        <v/>
      </c>
      <c r="W111" s="18" t="str">
        <f>IF(OR(J111="Krankenstand",J111="Urlaub"),"",IF(J111="","",VLOOKUP(D111,Dienste!C:W,11,)))</f>
        <v/>
      </c>
      <c r="X111" s="18" t="str">
        <f>IF(OR(J111="Krankenstand",J111="Urlaub"),"",IF(J111="","",VLOOKUP(D111,Dienste!C:W,12,)))</f>
        <v/>
      </c>
      <c r="Y111" s="19" t="str">
        <f>IF(OR(J111="Krankenstand",J111="Urlaub"),"",IF(J111="","",VLOOKUP(D111,Dienste!C:W,14,)))</f>
        <v/>
      </c>
      <c r="Z111" s="20" t="str">
        <f>IF(OR(J111="Krankenstand",J111="Urlaub"),"",IF(J111="","",VLOOKUP(D111,Dienste!C:W,15,)))</f>
        <v/>
      </c>
      <c r="AA111" s="124" t="str">
        <f>IF(OR(Y111="",NOT(AB111="")),"",IF(AND(Y111&lt;AE112,AE112&gt;0),Y111,IF(AE112&gt;0,AE112,"")))</f>
        <v/>
      </c>
      <c r="AB111" s="19" t="str">
        <f t="shared" si="41"/>
        <v/>
      </c>
      <c r="AC111" s="126" t="str">
        <f>_xlfn.CONCAT(_xlfn.CONCAT(IF(I111="","",_xlfn.CONCAT("FT: ",I111,IF(J111="","","; "))),IF(B111&lt;Datenblatt!$B$9,"",IF(B111="","",IF(NOT(J111=""),SUBSTITUTE(SUBSTITUTE(SUBSTITUTE(J111," mR","")," oR","")," O",""),"")))),IF(AF111="","",_xlfn.CONCAT(CHAR(10),"; ",AF111)))</f>
        <v/>
      </c>
      <c r="AD111" s="124" t="str">
        <f t="shared" si="50"/>
        <v/>
      </c>
      <c r="AE111" s="19">
        <f t="shared" si="42"/>
        <v>0</v>
      </c>
      <c r="AF111" s="156"/>
    </row>
    <row r="112" spans="2:32" s="9" customFormat="1" ht="13">
      <c r="B112" s="28">
        <f>IF(B111="","",IF(DAY(B111+1)&lt;31,"",B111+1))</f>
        <v>44651</v>
      </c>
      <c r="C112" s="47">
        <f>SMALL(Daten!W:W,COUNTIF(Daten!W:W,"&lt;"&amp;Stundenaufzeichnung!B112+1))</f>
        <v>44578</v>
      </c>
      <c r="D112" s="47" t="str">
        <f t="shared" si="38"/>
        <v/>
      </c>
      <c r="E112" s="29">
        <f t="shared" si="39"/>
        <v>6</v>
      </c>
      <c r="F112" s="29">
        <f>IF(B112="","",MOD(E112+$F$3,7)+1)</f>
        <v>4</v>
      </c>
      <c r="G112" s="29">
        <f>IF(B112="","",VLOOKUP(E112,Datenblatt!$L$2:$N$8,3,FALSE))</f>
        <v>0</v>
      </c>
      <c r="H112" s="29" t="str">
        <f t="shared" si="45"/>
        <v/>
      </c>
      <c r="I112" s="123" t="str">
        <f>IFERROR(VLOOKUP(B112,Datenblatt!$E:$F,2,FALSE),"")</f>
        <v/>
      </c>
      <c r="J112" s="114"/>
      <c r="K112" s="30">
        <f>IF(B112&lt;Datenblatt!$B$9,"",IF(B112="","",IF(G112=0,Datenblatt!$B$7,"")))</f>
        <v>6.67</v>
      </c>
      <c r="L112" s="30" t="str">
        <f t="shared" si="46"/>
        <v/>
      </c>
      <c r="M112" s="30" t="str">
        <f t="shared" si="47"/>
        <v/>
      </c>
      <c r="N112" s="30" t="str">
        <f>IF(AND(L112=Datenblatt!$B$7,NOT(L111=Datenblatt!$B$7),NOT(L113=Datenblatt!$B$7)),"y",IF(AND(L112=Datenblatt!$B$7,L113=Datenblatt!$B$7,NOT(L111=Datenblatt!$B$7)),"a",IF(AND(L112=Datenblatt!$B$7,L111=Datenblatt!$B$7,NOT(L113=Datenblatt!$B$7)),"b","")))</f>
        <v/>
      </c>
      <c r="O112" s="30" t="str">
        <f t="shared" si="48"/>
        <v/>
      </c>
      <c r="P112" s="30" t="str">
        <f>IF(AND(M112=Datenblatt!$B$7,NOT(M111=Datenblatt!$B$7),NOT(M113=Datenblatt!$B$7)),"y",IF(AND(M112=Datenblatt!$B$7,M113=Datenblatt!$B$7,NOT(M111=Datenblatt!$B$7)),"a",IF(AND(M112=Datenblatt!$B$7,M111=Datenblatt!$B$7,NOT(M113=Datenblatt!$B$7)),"b","")))</f>
        <v/>
      </c>
      <c r="Q112" s="30" t="str">
        <f t="shared" si="49"/>
        <v/>
      </c>
      <c r="R112" s="30" t="str">
        <f>IF(I112="","",IF(AND(OR(J112="Krankenstand",J112="Urlaub",J112=""), AND(G112=0,NOT(I112=""))),Datenblatt!$B$7,""))</f>
        <v/>
      </c>
      <c r="S112" s="30" t="str">
        <f>IF(OR(J112="Krankenstand",J112="Urlaub"),"",IF(J112="","",VLOOKUP(D112,Dienste!C:W,21,)))</f>
        <v/>
      </c>
      <c r="T112" s="31" t="str">
        <f>IF(OR(J112="Krankenstand",J112="Urlaub"),"",IF(J112="","",VLOOKUP(D112,Dienste!C:W,5,)))</f>
        <v/>
      </c>
      <c r="U112" s="31" t="str">
        <f>IF(OR(J112="Krankenstand",J112="Urlaub"),"",IF(J112="","",VLOOKUP(D112,Dienste!C:W,6,)))</f>
        <v/>
      </c>
      <c r="V112" s="31" t="str">
        <f>IF(OR(J112="Krankenstand",J112="Urlaub"),"",IF(J112="","",VLOOKUP(D112,Dienste!C:W,7,)))</f>
        <v/>
      </c>
      <c r="W112" s="31" t="str">
        <f>IF(OR(J112="Krankenstand",J112="Urlaub"),"",IF(J112="","",VLOOKUP(D112,Dienste!C:W,11,)))</f>
        <v/>
      </c>
      <c r="X112" s="31" t="str">
        <f>IF(OR(J112="Krankenstand",J112="Urlaub"),"",IF(J112="","",VLOOKUP(D112,Dienste!C:W,12,)))</f>
        <v/>
      </c>
      <c r="Y112" s="30" t="str">
        <f>IF(OR(J112="Krankenstand",J112="Urlaub"),"",IF(J112="","",VLOOKUP(D112,Dienste!C:W,14,)))</f>
        <v/>
      </c>
      <c r="Z112" s="32" t="str">
        <f>IF(OR(J112="Krankenstand",J112="Urlaub"),"",IF(J112="","",VLOOKUP(D112,Dienste!C:W,15,)))</f>
        <v/>
      </c>
      <c r="AA112" s="30" t="str">
        <f>IF(OR(Y112="",NOT(AB112="")),"",IF(AND(Y112&lt;AE113,AE113&gt;0),Y112,IF(AE113&gt;0,AE113,"")))</f>
        <v/>
      </c>
      <c r="AB112" s="30" t="str">
        <f t="shared" si="41"/>
        <v/>
      </c>
      <c r="AC112" s="125" t="str">
        <f>_xlfn.CONCAT(_xlfn.CONCAT(IF(I112="","",_xlfn.CONCAT("FT: ",I112,IF(J112="","","; "))),IF(B112&lt;Datenblatt!$B$9,"",IF(B112="","",IF(NOT(J112=""),SUBSTITUTE(SUBSTITUTE(SUBSTITUTE(J112," mR","")," oR","")," O",""),"")))),IF(AF112="","",_xlfn.CONCAT(CHAR(10),"; ",AF112)))</f>
        <v/>
      </c>
      <c r="AD112" s="30" t="str">
        <f t="shared" si="50"/>
        <v/>
      </c>
      <c r="AE112" s="30">
        <f>IF(OR(Y112="",NOT(AB112="")),AE113,AE113-Y112)</f>
        <v>0</v>
      </c>
      <c r="AF112" s="157"/>
    </row>
    <row r="113" spans="1:32" s="8" customFormat="1" ht="13">
      <c r="AA113" s="19">
        <f>IF(AD114-AB114-K114&lt;0,0,AD114-AB114-K114)</f>
        <v>0</v>
      </c>
      <c r="AC113" s="17" t="s">
        <v>193</v>
      </c>
      <c r="AE113" s="19">
        <f>AA113</f>
        <v>0</v>
      </c>
      <c r="AF113" s="17"/>
    </row>
    <row r="114" spans="1:32" s="8" customFormat="1" ht="13">
      <c r="B114" s="25" t="str">
        <f>"Summen "&amp;TEXT(B82,"MMMM")</f>
        <v>Summen März</v>
      </c>
      <c r="C114" s="25"/>
      <c r="D114" s="25"/>
      <c r="E114" s="17"/>
      <c r="F114" s="17"/>
      <c r="G114" s="17"/>
      <c r="H114" s="17"/>
      <c r="I114" s="17"/>
      <c r="J114" s="17"/>
      <c r="K114" s="19">
        <f>SUM(K82:K112)</f>
        <v>180.08999999999992</v>
      </c>
      <c r="L114" s="19">
        <f t="shared" ref="L114:M114" si="51">SUM(L82:L112)</f>
        <v>0</v>
      </c>
      <c r="M114" s="19">
        <f t="shared" si="51"/>
        <v>0</v>
      </c>
      <c r="N114" s="19"/>
      <c r="O114" s="19" t="str">
        <f>IF(_xlfn.CONCAT(O82:O112)="","",REPLACE(_xlfn.CONCAT(O82:O112),LEN(_xlfn.CONCAT(O82:O112))-1,1,""))</f>
        <v/>
      </c>
      <c r="P114" s="19"/>
      <c r="Q114" s="19" t="str">
        <f t="shared" ref="Q114" si="52">IF(_xlfn.CONCAT(Q82:Q112)="","",REPLACE(_xlfn.CONCAT(Q82:Q112),LEN(_xlfn.CONCAT(Q82:Q112))-1,1,""))</f>
        <v/>
      </c>
      <c r="R114" s="19">
        <f t="shared" ref="R114:S114" si="53">SUM(R82:R112)</f>
        <v>0</v>
      </c>
      <c r="S114" s="19">
        <f t="shared" si="53"/>
        <v>0</v>
      </c>
      <c r="T114" s="19"/>
      <c r="U114" s="19"/>
      <c r="V114" s="19"/>
      <c r="W114" s="19"/>
      <c r="X114" s="17"/>
      <c r="Y114" s="19">
        <f>SUM(Y82:Y112)</f>
        <v>0</v>
      </c>
      <c r="Z114" s="20">
        <f>SUM(Z82:Z112)</f>
        <v>0</v>
      </c>
      <c r="AA114" s="26">
        <f>IF(AA113&gt;10,10,AA113)</f>
        <v>0</v>
      </c>
      <c r="AB114" s="19">
        <f t="shared" ref="AB114" si="54">SUM(AB82:AB112)</f>
        <v>0</v>
      </c>
      <c r="AC114" s="20">
        <f>R115</f>
        <v>0</v>
      </c>
      <c r="AD114" s="19">
        <f>SUM(AD82:AD112)</f>
        <v>0</v>
      </c>
      <c r="AE114" s="19"/>
      <c r="AF114" s="20"/>
    </row>
    <row r="115" spans="1:32" s="8" customFormat="1" ht="13">
      <c r="B115" s="25" t="str">
        <f>"Anzahl "&amp;TEXT(B82,"MMMM")</f>
        <v>Anzahl März</v>
      </c>
      <c r="C115" s="25"/>
      <c r="D115" s="25"/>
      <c r="E115" s="17"/>
      <c r="F115" s="17"/>
      <c r="G115" s="17"/>
      <c r="H115" s="17"/>
      <c r="I115" s="17"/>
      <c r="J115" s="17"/>
      <c r="K115" s="17">
        <f>COUNT(K82:K112)</f>
        <v>27</v>
      </c>
      <c r="L115" s="17">
        <f t="shared" ref="L115:M115" si="55">COUNT(L82:L112)</f>
        <v>0</v>
      </c>
      <c r="M115" s="17">
        <f t="shared" si="55"/>
        <v>0</v>
      </c>
      <c r="N115" s="17"/>
      <c r="O115" s="17"/>
      <c r="P115" s="17"/>
      <c r="Q115" s="17"/>
      <c r="R115" s="17">
        <f t="shared" ref="R115:S115" si="56">COUNT(R82:R112)</f>
        <v>0</v>
      </c>
      <c r="S115" s="17">
        <f t="shared" si="56"/>
        <v>0</v>
      </c>
      <c r="T115" s="17"/>
      <c r="U115" s="17"/>
      <c r="V115" s="17"/>
      <c r="W115" s="17"/>
      <c r="X115" s="17"/>
      <c r="Y115" s="17"/>
      <c r="Z115" s="17"/>
      <c r="AA115" s="27">
        <f>IF(AA113&gt;10,AA113-10,0)</f>
        <v>0</v>
      </c>
      <c r="AB115" s="17"/>
      <c r="AC115" s="17"/>
      <c r="AD115" s="17"/>
      <c r="AE115" s="17"/>
      <c r="AF115" s="17"/>
    </row>
    <row r="116" spans="1:32" s="8" customFormat="1" ht="13.5" thickBot="1">
      <c r="A116" s="10"/>
      <c r="B116" s="10"/>
      <c r="C116" s="10"/>
      <c r="D116" s="10"/>
      <c r="E116" s="10"/>
      <c r="F116" s="10"/>
      <c r="G116" s="10"/>
      <c r="H116" s="10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0"/>
      <c r="AB116" s="10"/>
      <c r="AC116" s="10"/>
      <c r="AD116" s="34"/>
      <c r="AE116" s="34"/>
      <c r="AF116" s="10"/>
    </row>
    <row r="117" spans="1:32" s="5" customFormat="1"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32" s="5" customFormat="1" ht="18.5">
      <c r="B118" s="33" t="s">
        <v>95</v>
      </c>
      <c r="C118" s="33"/>
      <c r="D118" s="33"/>
      <c r="E118" s="23"/>
      <c r="F118" s="23"/>
      <c r="G118" s="23"/>
      <c r="H118" s="23"/>
      <c r="I118" s="217" t="str">
        <f>Datenblatt!$B$4</f>
        <v>Dummy Name</v>
      </c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8" t="str">
        <f>TEXT(B121,"MMMM JJJJ")</f>
        <v>April 2022</v>
      </c>
      <c r="U118" s="218"/>
      <c r="V118" s="218"/>
      <c r="W118" s="218"/>
      <c r="X118" s="8"/>
      <c r="Y118" s="8"/>
      <c r="Z118" s="8"/>
    </row>
    <row r="119" spans="1:32" s="5" customFormat="1" ht="15" customHeight="1">
      <c r="I119" s="2"/>
      <c r="J119" s="2"/>
      <c r="K119" s="13"/>
      <c r="L119" s="13"/>
      <c r="M119" s="13"/>
      <c r="N119" s="13"/>
      <c r="O119" s="13"/>
      <c r="P119" s="13"/>
      <c r="Q119" s="13"/>
      <c r="R119" s="13"/>
      <c r="S119" s="13"/>
      <c r="T119" s="221" t="s">
        <v>43</v>
      </c>
      <c r="U119" s="221"/>
      <c r="V119" s="221" t="s">
        <v>45</v>
      </c>
      <c r="W119" s="221" t="s">
        <v>116</v>
      </c>
      <c r="X119" s="221" t="s">
        <v>11</v>
      </c>
      <c r="Y119" s="219" t="s">
        <v>194</v>
      </c>
      <c r="Z119" s="219" t="s">
        <v>7</v>
      </c>
      <c r="AA119" s="220" t="s">
        <v>49</v>
      </c>
      <c r="AB119" s="220"/>
      <c r="AC119" s="160"/>
      <c r="AD119" s="160"/>
    </row>
    <row r="120" spans="1:32" s="5" customFormat="1" ht="15" customHeight="1">
      <c r="B120" s="8"/>
      <c r="C120" s="8"/>
      <c r="D120" s="8" t="s">
        <v>161</v>
      </c>
      <c r="E120" s="8"/>
      <c r="F120" s="8">
        <f>VLOOKUP(Datenblatt!$B$8,Datenblatt!$J:$K,2,FALSE)</f>
        <v>4</v>
      </c>
      <c r="G120" s="8" t="s">
        <v>113</v>
      </c>
      <c r="H120" s="8"/>
      <c r="I120" s="12" t="s">
        <v>92</v>
      </c>
      <c r="J120" s="115" t="s">
        <v>12</v>
      </c>
      <c r="K120" s="12" t="s">
        <v>94</v>
      </c>
      <c r="L120" s="12" t="s">
        <v>85</v>
      </c>
      <c r="M120" s="12" t="s">
        <v>88</v>
      </c>
      <c r="N120" s="12" t="s">
        <v>117</v>
      </c>
      <c r="O120" s="12" t="s">
        <v>117</v>
      </c>
      <c r="P120" s="12" t="s">
        <v>118</v>
      </c>
      <c r="Q120" s="12" t="s">
        <v>118</v>
      </c>
      <c r="R120" s="12" t="s">
        <v>112</v>
      </c>
      <c r="S120" s="12" t="s">
        <v>115</v>
      </c>
      <c r="T120" s="15" t="s">
        <v>51</v>
      </c>
      <c r="U120" s="15" t="s">
        <v>50</v>
      </c>
      <c r="V120" s="222"/>
      <c r="W120" s="222"/>
      <c r="X120" s="222"/>
      <c r="Y120" s="219"/>
      <c r="Z120" s="219" t="s">
        <v>7</v>
      </c>
      <c r="AA120" s="21">
        <v>0.5</v>
      </c>
      <c r="AB120" s="16" t="s">
        <v>114</v>
      </c>
      <c r="AC120" s="16" t="s">
        <v>131</v>
      </c>
      <c r="AD120" s="16" t="s">
        <v>131</v>
      </c>
      <c r="AE120" s="128" t="s">
        <v>195</v>
      </c>
      <c r="AF120" s="16" t="s">
        <v>198</v>
      </c>
    </row>
    <row r="121" spans="1:32" s="9" customFormat="1" ht="13">
      <c r="A121" s="9">
        <f>A82+1</f>
        <v>4</v>
      </c>
      <c r="B121" s="6">
        <f>DATE(Datenblatt!$B$3,A121,1)</f>
        <v>44652</v>
      </c>
      <c r="C121" s="45">
        <f>SMALL(Daten!W:W,COUNTIF(Daten!W:W,"&lt;"&amp;Stundenaufzeichnung!B121+1))</f>
        <v>44578</v>
      </c>
      <c r="D121" s="45" t="str">
        <f t="shared" ref="D121:D151" si="57">IF(J121="","",CONCATENATE(C121," ",J121))</f>
        <v/>
      </c>
      <c r="E121" s="8">
        <f t="shared" ref="E121:E151" si="58">IF(B121="","",WEEKDAY(B121,16))</f>
        <v>7</v>
      </c>
      <c r="F121" s="8">
        <f>MOD(E121+$F$3,7)+1</f>
        <v>5</v>
      </c>
      <c r="G121" s="8">
        <f>IF(B121="","",VLOOKUP(E121,Datenblatt!$L$2:$N$8,3,FALSE))</f>
        <v>0</v>
      </c>
      <c r="H121" s="8" t="str">
        <f>IF(OR(G121=1),"x",IF(I121="","","x"))</f>
        <v/>
      </c>
      <c r="I121" s="11" t="str">
        <f>IFERROR(VLOOKUP(B121,Datenblatt!$E:$F,2,FALSE),"")</f>
        <v/>
      </c>
      <c r="J121" s="113"/>
      <c r="K121" s="19">
        <f>IF(B121&lt;Datenblatt!$B$9,"",IF(B121="","",IF(G121=0,Datenblatt!$B$7,"")))</f>
        <v>6.67</v>
      </c>
      <c r="L121" s="19" t="str">
        <f>IF(AND(J121="Krankenstand",R121=""),K121,"")</f>
        <v/>
      </c>
      <c r="M121" s="124" t="str">
        <f>IF(AND(J121="Urlaub",R121=""),K121,"")</f>
        <v/>
      </c>
      <c r="N121" s="124" t="str">
        <f>IF(AND(L121=Datenblatt!$B$7,NOT(L120=Datenblatt!$B$7),NOT(L122=Datenblatt!$B$7)),"y",IF(AND(L121=Datenblatt!$B$7,L122=Datenblatt!$B$7,NOT(L120=Datenblatt!$B$7)),"a",IF(AND(L121=Datenblatt!$B$7,L120=Datenblatt!$B$7,NOT(L122=Datenblatt!$B$7)),"b","")))</f>
        <v/>
      </c>
      <c r="O121" s="19" t="str">
        <f>IF(N121="a",TEXT(B121,"TT.MM.")&amp;" - ",IF(OR(N121="b",N121="y"),TEXT(B121,"TT.MM.")&amp;"; ",""))</f>
        <v/>
      </c>
      <c r="P121" s="124" t="str">
        <f>IF(AND(M121=Datenblatt!$B$7,NOT(M120=Datenblatt!$B$7),NOT(M122=Datenblatt!$B$7)),"y",IF(AND(M121=Datenblatt!$B$7,M122=Datenblatt!$B$7,NOT(M120=Datenblatt!$B$7)),"a",IF(AND(M121=Datenblatt!$B$7,M120=Datenblatt!$B$7,NOT(M122=Datenblatt!$B$7)),"b","")))</f>
        <v/>
      </c>
      <c r="Q121" s="19" t="str">
        <f>IF(P121="a",TEXT(B121,"TT.MM.")&amp;" - ",IF(OR(P121="b",P121="y"),TEXT(B121,"TT.MM.")&amp;"; ",""))</f>
        <v/>
      </c>
      <c r="R121" s="124" t="str">
        <f>IF(I121="","",IF(AND(OR(J121="Krankenstand",J121="Urlaub",J121=""), AND(G121=0,NOT(I121=""))),Datenblatt!$B$7,""))</f>
        <v/>
      </c>
      <c r="S121" s="19" t="str">
        <f>IF(OR(J121="Krankenstand",J121="Urlaub"),"",IF(J121="","",VLOOKUP(D121,Dienste!C:W,21,)))</f>
        <v/>
      </c>
      <c r="T121" s="18" t="str">
        <f>IF(OR(J121="Krankenstand",J121="Urlaub"),"",IF(J121="","",VLOOKUP(D121,Dienste!C:W,5,)))</f>
        <v/>
      </c>
      <c r="U121" s="18" t="str">
        <f>IF(OR(J121="Krankenstand",J121="Urlaub"),"",IF(J121="","",VLOOKUP(D121,Dienste!C:W,6,)))</f>
        <v/>
      </c>
      <c r="V121" s="18" t="str">
        <f>IF(OR(J121="Krankenstand",J121="Urlaub"),"",IF(J121="","",VLOOKUP(D121,Dienste!C:W,7,)))</f>
        <v/>
      </c>
      <c r="W121" s="18" t="str">
        <f>IF(OR(J121="Krankenstand",J121="Urlaub"),"",IF(J121="","",VLOOKUP(D121,Dienste!C:W,11,)))</f>
        <v/>
      </c>
      <c r="X121" s="18" t="str">
        <f>IF(OR(J121="Krankenstand",J121="Urlaub"),"",IF(J121="","",VLOOKUP(D121,Dienste!C:W,12,)))</f>
        <v/>
      </c>
      <c r="Y121" s="19" t="str">
        <f>IF(OR(J121="Krankenstand",J121="Urlaub"),"",IF(J121="","",VLOOKUP(D121,Dienste!C:W,14,)))</f>
        <v/>
      </c>
      <c r="Z121" s="20" t="str">
        <f>IF(OR(J121="Krankenstand",J121="Urlaub"),"",IF(J121="","",VLOOKUP(D121,Dienste!C:W,15,)))</f>
        <v/>
      </c>
      <c r="AA121" s="124" t="str">
        <f t="shared" ref="AA121:AA149" si="59">IF(OR(Y121="",NOT(AB121="")),"",IF(AND(Y121&lt;AE122,AE122&gt;0),Y121,IF(AE122&gt;0,AE122,"")))</f>
        <v/>
      </c>
      <c r="AB121" s="19" t="str">
        <f t="shared" ref="AB121:AB151" si="60">IF(I121="","",Y121)</f>
        <v/>
      </c>
      <c r="AC121" s="126" t="str">
        <f>_xlfn.CONCAT(_xlfn.CONCAT(IF(I121="","",_xlfn.CONCAT("FT: ",I121,IF(J121="","","; "))),IF(B121&lt;Datenblatt!$B$9,"",IF(B121="","",IF(NOT(J121=""),SUBSTITUTE(SUBSTITUTE(SUBSTITUTE(J121," mR","")," oR","")," O",""),"")))),IF(AF121="","",_xlfn.CONCAT(CHAR(10),"; ",AF121)))</f>
        <v/>
      </c>
      <c r="AD121" s="124" t="str">
        <f>IF(SUM(Y121,R121,M121,L121)&lt;=0,"",SUM(Y121,R121,M121,L121))</f>
        <v/>
      </c>
      <c r="AE121" s="19">
        <f t="shared" ref="AE121:AE150" si="61">IF(OR(Y121="",NOT(AB121="")),AE122,AE122-Y121)</f>
        <v>0</v>
      </c>
      <c r="AF121" s="156"/>
    </row>
    <row r="122" spans="1:32" s="9" customFormat="1" ht="13">
      <c r="B122" s="6">
        <f t="shared" ref="B122:B148" si="62">B121+1</f>
        <v>44653</v>
      </c>
      <c r="C122" s="45">
        <f>SMALL(Daten!W:W,COUNTIF(Daten!W:W,"&lt;"&amp;Stundenaufzeichnung!B122+1))</f>
        <v>44578</v>
      </c>
      <c r="D122" s="45" t="str">
        <f t="shared" si="57"/>
        <v/>
      </c>
      <c r="E122" s="8">
        <f t="shared" si="58"/>
        <v>1</v>
      </c>
      <c r="F122" s="8">
        <f t="shared" ref="F122:F148" si="63">MOD(E122+$F$3,7)+1</f>
        <v>6</v>
      </c>
      <c r="G122" s="8">
        <f>IF(B122="","",VLOOKUP(E122,Datenblatt!$L$2:$N$8,3,FALSE))</f>
        <v>0</v>
      </c>
      <c r="H122" s="8" t="str">
        <f t="shared" ref="H122:H151" si="64">IF(OR(G122=1),"x",IF(I122="","","x"))</f>
        <v/>
      </c>
      <c r="I122" s="11" t="str">
        <f>IFERROR(VLOOKUP(B122,Datenblatt!$E:$F,2,FALSE),"")</f>
        <v/>
      </c>
      <c r="J122" s="113"/>
      <c r="K122" s="19">
        <f>IF(B122&lt;Datenblatt!$B$9,"",IF(B122="","",IF(G122=0,Datenblatt!$B$7,"")))</f>
        <v>6.67</v>
      </c>
      <c r="L122" s="19" t="str">
        <f t="shared" ref="L122:L151" si="65">IF(AND(J122="Krankenstand",R122=""),K122,"")</f>
        <v/>
      </c>
      <c r="M122" s="124" t="str">
        <f t="shared" ref="M122:M151" si="66">IF(AND(J122="Urlaub",R122=""),K122,"")</f>
        <v/>
      </c>
      <c r="N122" s="124" t="str">
        <f>IF(AND(L122=Datenblatt!$B$7,NOT(L121=Datenblatt!$B$7),NOT(L123=Datenblatt!$B$7)),"y",IF(AND(L122=Datenblatt!$B$7,L123=Datenblatt!$B$7,NOT(L121=Datenblatt!$B$7)),"a",IF(AND(L122=Datenblatt!$B$7,L121=Datenblatt!$B$7,NOT(L123=Datenblatt!$B$7)),"b","")))</f>
        <v/>
      </c>
      <c r="O122" s="19" t="str">
        <f t="shared" ref="O122:O151" si="67">IF(N122="a",TEXT(B122,"TT.MM.")&amp;" - ",IF(OR(N122="b",N122="y"),TEXT(B122,"TT.MM.")&amp;"; ",""))</f>
        <v/>
      </c>
      <c r="P122" s="124" t="str">
        <f>IF(AND(M122=Datenblatt!$B$7,NOT(M121=Datenblatt!$B$7),NOT(M123=Datenblatt!$B$7)),"y",IF(AND(M122=Datenblatt!$B$7,M123=Datenblatt!$B$7,NOT(M121=Datenblatt!$B$7)),"a",IF(AND(M122=Datenblatt!$B$7,M121=Datenblatt!$B$7,NOT(M123=Datenblatt!$B$7)),"b","")))</f>
        <v/>
      </c>
      <c r="Q122" s="19" t="str">
        <f t="shared" ref="Q122:Q151" si="68">IF(P122="a",TEXT(B122,"TT.MM.")&amp;" - ",IF(OR(P122="b",P122="y"),TEXT(B122,"TT.MM.")&amp;"; ",""))</f>
        <v/>
      </c>
      <c r="R122" s="124" t="str">
        <f>IF(I122="","",IF(AND(OR(J122="Krankenstand",J122="Urlaub",J122=""), AND(G122=0,NOT(I122=""))),Datenblatt!$B$7,""))</f>
        <v/>
      </c>
      <c r="S122" s="19" t="str">
        <f>IF(OR(J122="Krankenstand",J122="Urlaub"),"",IF(J122="","",VLOOKUP(D122,Dienste!C:W,21,)))</f>
        <v/>
      </c>
      <c r="T122" s="18" t="str">
        <f>IF(OR(J122="Krankenstand",J122="Urlaub"),"",IF(J122="","",VLOOKUP(D122,Dienste!C:W,5,)))</f>
        <v/>
      </c>
      <c r="U122" s="18" t="str">
        <f>IF(OR(J122="Krankenstand",J122="Urlaub"),"",IF(J122="","",VLOOKUP(D122,Dienste!C:W,6,)))</f>
        <v/>
      </c>
      <c r="V122" s="18" t="str">
        <f>IF(OR(J122="Krankenstand",J122="Urlaub"),"",IF(J122="","",VLOOKUP(D122,Dienste!C:W,7,)))</f>
        <v/>
      </c>
      <c r="W122" s="18" t="str">
        <f>IF(OR(J122="Krankenstand",J122="Urlaub"),"",IF(J122="","",VLOOKUP(D122,Dienste!C:W,11,)))</f>
        <v/>
      </c>
      <c r="X122" s="18" t="str">
        <f>IF(OR(J122="Krankenstand",J122="Urlaub"),"",IF(J122="","",VLOOKUP(D122,Dienste!C:W,12,)))</f>
        <v/>
      </c>
      <c r="Y122" s="19" t="str">
        <f>IF(OR(J122="Krankenstand",J122="Urlaub"),"",IF(J122="","",VLOOKUP(D122,Dienste!C:W,14,)))</f>
        <v/>
      </c>
      <c r="Z122" s="20" t="str">
        <f>IF(OR(J122="Krankenstand",J122="Urlaub"),"",IF(J122="","",VLOOKUP(D122,Dienste!C:W,15,)))</f>
        <v/>
      </c>
      <c r="AA122" s="124" t="str">
        <f t="shared" si="59"/>
        <v/>
      </c>
      <c r="AB122" s="19" t="str">
        <f t="shared" si="60"/>
        <v/>
      </c>
      <c r="AC122" s="126" t="str">
        <f>_xlfn.CONCAT(_xlfn.CONCAT(IF(I122="","",_xlfn.CONCAT("FT: ",I122,IF(J122="","","; "))),IF(B122&lt;Datenblatt!$B$9,"",IF(B122="","",IF(NOT(J122=""),SUBSTITUTE(SUBSTITUTE(SUBSTITUTE(J122," mR","")," oR","")," O",""),"")))),IF(AF122="","",_xlfn.CONCAT(CHAR(10),"; ",AF122)))</f>
        <v/>
      </c>
      <c r="AD122" s="124" t="str">
        <f t="shared" ref="AD122:AD151" si="69">IF(SUM(Y122,R122,M122,L122)&lt;=0,"",SUM(Y122,R122,M122,L122))</f>
        <v/>
      </c>
      <c r="AE122" s="19">
        <f t="shared" si="61"/>
        <v>0</v>
      </c>
      <c r="AF122" s="156"/>
    </row>
    <row r="123" spans="1:32" s="9" customFormat="1" ht="13">
      <c r="B123" s="6">
        <f t="shared" si="62"/>
        <v>44654</v>
      </c>
      <c r="C123" s="45">
        <f>SMALL(Daten!W:W,COUNTIF(Daten!W:W,"&lt;"&amp;Stundenaufzeichnung!B123+1))</f>
        <v>44578</v>
      </c>
      <c r="D123" s="45" t="str">
        <f t="shared" si="57"/>
        <v/>
      </c>
      <c r="E123" s="8">
        <f t="shared" si="58"/>
        <v>2</v>
      </c>
      <c r="F123" s="8">
        <f t="shared" si="63"/>
        <v>7</v>
      </c>
      <c r="G123" s="8">
        <f>IF(B123="","",VLOOKUP(E123,Datenblatt!$L$2:$N$8,3,FALSE))</f>
        <v>1</v>
      </c>
      <c r="H123" s="8" t="str">
        <f t="shared" si="64"/>
        <v>x</v>
      </c>
      <c r="I123" s="11" t="str">
        <f>IFERROR(VLOOKUP(B123,Datenblatt!$E:$F,2,FALSE),"")</f>
        <v/>
      </c>
      <c r="J123" s="113"/>
      <c r="K123" s="19" t="str">
        <f>IF(B123&lt;Datenblatt!$B$9,"",IF(B123="","",IF(G123=0,Datenblatt!$B$7,"")))</f>
        <v/>
      </c>
      <c r="L123" s="19" t="str">
        <f t="shared" si="65"/>
        <v/>
      </c>
      <c r="M123" s="124" t="str">
        <f t="shared" si="66"/>
        <v/>
      </c>
      <c r="N123" s="124" t="str">
        <f>IF(AND(L123=Datenblatt!$B$7,NOT(L122=Datenblatt!$B$7),NOT(L124=Datenblatt!$B$7)),"y",IF(AND(L123=Datenblatt!$B$7,L124=Datenblatt!$B$7,NOT(L122=Datenblatt!$B$7)),"a",IF(AND(L123=Datenblatt!$B$7,L122=Datenblatt!$B$7,NOT(L124=Datenblatt!$B$7)),"b","")))</f>
        <v/>
      </c>
      <c r="O123" s="19" t="str">
        <f t="shared" si="67"/>
        <v/>
      </c>
      <c r="P123" s="124" t="str">
        <f>IF(AND(M123=Datenblatt!$B$7,NOT(M122=Datenblatt!$B$7),NOT(M124=Datenblatt!$B$7)),"y",IF(AND(M123=Datenblatt!$B$7,M124=Datenblatt!$B$7,NOT(M122=Datenblatt!$B$7)),"a",IF(AND(M123=Datenblatt!$B$7,M122=Datenblatt!$B$7,NOT(M124=Datenblatt!$B$7)),"b","")))</f>
        <v/>
      </c>
      <c r="Q123" s="19" t="str">
        <f t="shared" si="68"/>
        <v/>
      </c>
      <c r="R123" s="124" t="str">
        <f>IF(I123="","",IF(AND(OR(J123="Krankenstand",J123="Urlaub",J123=""), AND(G123=0,NOT(I123=""))),Datenblatt!$B$7,""))</f>
        <v/>
      </c>
      <c r="S123" s="19" t="str">
        <f>IF(OR(J123="Krankenstand",J123="Urlaub"),"",IF(J123="","",VLOOKUP(D123,Dienste!C:W,21,)))</f>
        <v/>
      </c>
      <c r="T123" s="18" t="str">
        <f>IF(OR(J123="Krankenstand",J123="Urlaub"),"",IF(J123="","",VLOOKUP(D123,Dienste!C:W,5,)))</f>
        <v/>
      </c>
      <c r="U123" s="18" t="str">
        <f>IF(OR(J123="Krankenstand",J123="Urlaub"),"",IF(J123="","",VLOOKUP(D123,Dienste!C:W,6,)))</f>
        <v/>
      </c>
      <c r="V123" s="18" t="str">
        <f>IF(OR(J123="Krankenstand",J123="Urlaub"),"",IF(J123="","",VLOOKUP(D123,Dienste!C:W,7,)))</f>
        <v/>
      </c>
      <c r="W123" s="18" t="str">
        <f>IF(OR(J123="Krankenstand",J123="Urlaub"),"",IF(J123="","",VLOOKUP(D123,Dienste!C:W,11,)))</f>
        <v/>
      </c>
      <c r="X123" s="18" t="str">
        <f>IF(OR(J123="Krankenstand",J123="Urlaub"),"",IF(J123="","",VLOOKUP(D123,Dienste!C:W,12,)))</f>
        <v/>
      </c>
      <c r="Y123" s="19" t="str">
        <f>IF(OR(J123="Krankenstand",J123="Urlaub"),"",IF(J123="","",VLOOKUP(D123,Dienste!C:W,14,)))</f>
        <v/>
      </c>
      <c r="Z123" s="20" t="str">
        <f>IF(OR(J123="Krankenstand",J123="Urlaub"),"",IF(J123="","",VLOOKUP(D123,Dienste!C:W,15,)))</f>
        <v/>
      </c>
      <c r="AA123" s="124" t="str">
        <f t="shared" si="59"/>
        <v/>
      </c>
      <c r="AB123" s="19" t="str">
        <f t="shared" si="60"/>
        <v/>
      </c>
      <c r="AC123" s="126" t="str">
        <f>_xlfn.CONCAT(_xlfn.CONCAT(IF(I123="","",_xlfn.CONCAT("FT: ",I123,IF(J123="","","; "))),IF(B123&lt;Datenblatt!$B$9,"",IF(B123="","",IF(NOT(J123=""),SUBSTITUTE(SUBSTITUTE(SUBSTITUTE(J123," mR","")," oR","")," O",""),"")))),IF(AF123="","",_xlfn.CONCAT(CHAR(10),"; ",AF123)))</f>
        <v/>
      </c>
      <c r="AD123" s="124" t="str">
        <f t="shared" si="69"/>
        <v/>
      </c>
      <c r="AE123" s="19">
        <f t="shared" si="61"/>
        <v>0</v>
      </c>
      <c r="AF123" s="156"/>
    </row>
    <row r="124" spans="1:32" s="9" customFormat="1" ht="13">
      <c r="B124" s="6">
        <f t="shared" si="62"/>
        <v>44655</v>
      </c>
      <c r="C124" s="45">
        <f>SMALL(Daten!W:W,COUNTIF(Daten!W:W,"&lt;"&amp;Stundenaufzeichnung!B124+1))</f>
        <v>44578</v>
      </c>
      <c r="D124" s="45" t="str">
        <f t="shared" si="57"/>
        <v/>
      </c>
      <c r="E124" s="8">
        <f t="shared" si="58"/>
        <v>3</v>
      </c>
      <c r="F124" s="8">
        <f t="shared" si="63"/>
        <v>1</v>
      </c>
      <c r="G124" s="8">
        <f>IF(B124="","",VLOOKUP(E124,Datenblatt!$L$2:$N$8,3,FALSE))</f>
        <v>0</v>
      </c>
      <c r="H124" s="8" t="str">
        <f t="shared" si="64"/>
        <v/>
      </c>
      <c r="I124" s="11" t="str">
        <f>IFERROR(VLOOKUP(B124,Datenblatt!$E:$F,2,FALSE),"")</f>
        <v/>
      </c>
      <c r="J124" s="113"/>
      <c r="K124" s="19">
        <f>IF(B124&lt;Datenblatt!$B$9,"",IF(B124="","",IF(G124=0,Datenblatt!$B$7,"")))</f>
        <v>6.67</v>
      </c>
      <c r="L124" s="19" t="str">
        <f t="shared" si="65"/>
        <v/>
      </c>
      <c r="M124" s="124" t="str">
        <f t="shared" si="66"/>
        <v/>
      </c>
      <c r="N124" s="124" t="str">
        <f>IF(AND(L124=Datenblatt!$B$7,NOT(L123=Datenblatt!$B$7),NOT(L125=Datenblatt!$B$7)),"y",IF(AND(L124=Datenblatt!$B$7,L125=Datenblatt!$B$7,NOT(L123=Datenblatt!$B$7)),"a",IF(AND(L124=Datenblatt!$B$7,L123=Datenblatt!$B$7,NOT(L125=Datenblatt!$B$7)),"b","")))</f>
        <v/>
      </c>
      <c r="O124" s="19" t="str">
        <f t="shared" si="67"/>
        <v/>
      </c>
      <c r="P124" s="124" t="str">
        <f>IF(AND(M124=Datenblatt!$B$7,NOT(M123=Datenblatt!$B$7),NOT(M125=Datenblatt!$B$7)),"y",IF(AND(M124=Datenblatt!$B$7,M125=Datenblatt!$B$7,NOT(M123=Datenblatt!$B$7)),"a",IF(AND(M124=Datenblatt!$B$7,M123=Datenblatt!$B$7,NOT(M125=Datenblatt!$B$7)),"b","")))</f>
        <v/>
      </c>
      <c r="Q124" s="19" t="str">
        <f t="shared" si="68"/>
        <v/>
      </c>
      <c r="R124" s="124" t="str">
        <f>IF(I124="","",IF(AND(OR(J124="Krankenstand",J124="Urlaub",J124=""), AND(G124=0,NOT(I124=""))),Datenblatt!$B$7,""))</f>
        <v/>
      </c>
      <c r="S124" s="19" t="str">
        <f>IF(OR(J124="Krankenstand",J124="Urlaub"),"",IF(J124="","",VLOOKUP(D124,Dienste!C:W,21,)))</f>
        <v/>
      </c>
      <c r="T124" s="18" t="str">
        <f>IF(OR(J124="Krankenstand",J124="Urlaub"),"",IF(J124="","",VLOOKUP(D124,Dienste!C:W,5,)))</f>
        <v/>
      </c>
      <c r="U124" s="18" t="str">
        <f>IF(OR(J124="Krankenstand",J124="Urlaub"),"",IF(J124="","",VLOOKUP(D124,Dienste!C:W,6,)))</f>
        <v/>
      </c>
      <c r="V124" s="18" t="str">
        <f>IF(OR(J124="Krankenstand",J124="Urlaub"),"",IF(J124="","",VLOOKUP(D124,Dienste!C:W,7,)))</f>
        <v/>
      </c>
      <c r="W124" s="18" t="str">
        <f>IF(OR(J124="Krankenstand",J124="Urlaub"),"",IF(J124="","",VLOOKUP(D124,Dienste!C:W,11,)))</f>
        <v/>
      </c>
      <c r="X124" s="18" t="str">
        <f>IF(OR(J124="Krankenstand",J124="Urlaub"),"",IF(J124="","",VLOOKUP(D124,Dienste!C:W,12,)))</f>
        <v/>
      </c>
      <c r="Y124" s="19" t="str">
        <f>IF(OR(J124="Krankenstand",J124="Urlaub"),"",IF(J124="","",VLOOKUP(D124,Dienste!C:W,14,)))</f>
        <v/>
      </c>
      <c r="Z124" s="20" t="str">
        <f>IF(OR(J124="Krankenstand",J124="Urlaub"),"",IF(J124="","",VLOOKUP(D124,Dienste!C:W,15,)))</f>
        <v/>
      </c>
      <c r="AA124" s="124" t="str">
        <f t="shared" si="59"/>
        <v/>
      </c>
      <c r="AB124" s="19" t="str">
        <f t="shared" si="60"/>
        <v/>
      </c>
      <c r="AC124" s="126" t="str">
        <f>_xlfn.CONCAT(_xlfn.CONCAT(IF(I124="","",_xlfn.CONCAT("FT: ",I124,IF(J124="","","; "))),IF(B124&lt;Datenblatt!$B$9,"",IF(B124="","",IF(NOT(J124=""),SUBSTITUTE(SUBSTITUTE(SUBSTITUTE(J124," mR","")," oR","")," O",""),"")))),IF(AF124="","",_xlfn.CONCAT(CHAR(10),"; ",AF124)))</f>
        <v/>
      </c>
      <c r="AD124" s="124" t="str">
        <f t="shared" si="69"/>
        <v/>
      </c>
      <c r="AE124" s="19">
        <f t="shared" si="61"/>
        <v>0</v>
      </c>
      <c r="AF124" s="156"/>
    </row>
    <row r="125" spans="1:32" s="9" customFormat="1" ht="13">
      <c r="B125" s="6">
        <f t="shared" si="62"/>
        <v>44656</v>
      </c>
      <c r="C125" s="45">
        <f>SMALL(Daten!W:W,COUNTIF(Daten!W:W,"&lt;"&amp;Stundenaufzeichnung!B125+1))</f>
        <v>44578</v>
      </c>
      <c r="D125" s="45" t="str">
        <f t="shared" si="57"/>
        <v/>
      </c>
      <c r="E125" s="8">
        <f t="shared" si="58"/>
        <v>4</v>
      </c>
      <c r="F125" s="8">
        <f t="shared" si="63"/>
        <v>2</v>
      </c>
      <c r="G125" s="8">
        <f>IF(B125="","",VLOOKUP(E125,Datenblatt!$L$2:$N$8,3,FALSE))</f>
        <v>0</v>
      </c>
      <c r="H125" s="8" t="str">
        <f t="shared" si="64"/>
        <v/>
      </c>
      <c r="I125" s="11" t="str">
        <f>IFERROR(VLOOKUP(B125,Datenblatt!$E:$F,2,FALSE),"")</f>
        <v/>
      </c>
      <c r="J125" s="113"/>
      <c r="K125" s="19">
        <f>IF(B125&lt;Datenblatt!$B$9,"",IF(B125="","",IF(G125=0,Datenblatt!$B$7,"")))</f>
        <v>6.67</v>
      </c>
      <c r="L125" s="19" t="str">
        <f t="shared" si="65"/>
        <v/>
      </c>
      <c r="M125" s="124" t="str">
        <f t="shared" si="66"/>
        <v/>
      </c>
      <c r="N125" s="124" t="str">
        <f>IF(AND(L125=Datenblatt!$B$7,NOT(L124=Datenblatt!$B$7),NOT(L126=Datenblatt!$B$7)),"y",IF(AND(L125=Datenblatt!$B$7,L126=Datenblatt!$B$7,NOT(L124=Datenblatt!$B$7)),"a",IF(AND(L125=Datenblatt!$B$7,L124=Datenblatt!$B$7,NOT(L126=Datenblatt!$B$7)),"b","")))</f>
        <v/>
      </c>
      <c r="O125" s="19" t="str">
        <f t="shared" si="67"/>
        <v/>
      </c>
      <c r="P125" s="124" t="str">
        <f>IF(AND(M125=Datenblatt!$B$7,NOT(M124=Datenblatt!$B$7),NOT(M126=Datenblatt!$B$7)),"y",IF(AND(M125=Datenblatt!$B$7,M126=Datenblatt!$B$7,NOT(M124=Datenblatt!$B$7)),"a",IF(AND(M125=Datenblatt!$B$7,M124=Datenblatt!$B$7,NOT(M126=Datenblatt!$B$7)),"b","")))</f>
        <v/>
      </c>
      <c r="Q125" s="19" t="str">
        <f t="shared" si="68"/>
        <v/>
      </c>
      <c r="R125" s="124" t="str">
        <f>IF(I125="","",IF(AND(OR(J125="Krankenstand",J125="Urlaub",J125=""), AND(G125=0,NOT(I125=""))),Datenblatt!$B$7,""))</f>
        <v/>
      </c>
      <c r="S125" s="19" t="str">
        <f>IF(OR(J125="Krankenstand",J125="Urlaub"),"",IF(J125="","",VLOOKUP(D125,Dienste!C:W,21,)))</f>
        <v/>
      </c>
      <c r="T125" s="18" t="str">
        <f>IF(OR(J125="Krankenstand",J125="Urlaub"),"",IF(J125="","",VLOOKUP(D125,Dienste!C:W,5,)))</f>
        <v/>
      </c>
      <c r="U125" s="18" t="str">
        <f>IF(OR(J125="Krankenstand",J125="Urlaub"),"",IF(J125="","",VLOOKUP(D125,Dienste!C:W,6,)))</f>
        <v/>
      </c>
      <c r="V125" s="18" t="str">
        <f>IF(OR(J125="Krankenstand",J125="Urlaub"),"",IF(J125="","",VLOOKUP(D125,Dienste!C:W,7,)))</f>
        <v/>
      </c>
      <c r="W125" s="18" t="str">
        <f>IF(OR(J125="Krankenstand",J125="Urlaub"),"",IF(J125="","",VLOOKUP(D125,Dienste!C:W,11,)))</f>
        <v/>
      </c>
      <c r="X125" s="18" t="str">
        <f>IF(OR(J125="Krankenstand",J125="Urlaub"),"",IF(J125="","",VLOOKUP(D125,Dienste!C:W,12,)))</f>
        <v/>
      </c>
      <c r="Y125" s="19" t="str">
        <f>IF(OR(J125="Krankenstand",J125="Urlaub"),"",IF(J125="","",VLOOKUP(D125,Dienste!C:W,14,)))</f>
        <v/>
      </c>
      <c r="Z125" s="20" t="str">
        <f>IF(OR(J125="Krankenstand",J125="Urlaub"),"",IF(J125="","",VLOOKUP(D125,Dienste!C:W,15,)))</f>
        <v/>
      </c>
      <c r="AA125" s="124" t="str">
        <f t="shared" si="59"/>
        <v/>
      </c>
      <c r="AB125" s="19" t="str">
        <f t="shared" si="60"/>
        <v/>
      </c>
      <c r="AC125" s="126" t="str">
        <f>_xlfn.CONCAT(_xlfn.CONCAT(IF(I125="","",_xlfn.CONCAT("FT: ",I125,IF(J125="","","; "))),IF(B125&lt;Datenblatt!$B$9,"",IF(B125="","",IF(NOT(J125=""),SUBSTITUTE(SUBSTITUTE(SUBSTITUTE(J125," mR","")," oR","")," O",""),"")))),IF(AF125="","",_xlfn.CONCAT(CHAR(10),"; ",AF125)))</f>
        <v/>
      </c>
      <c r="AD125" s="124" t="str">
        <f t="shared" si="69"/>
        <v/>
      </c>
      <c r="AE125" s="19">
        <f t="shared" si="61"/>
        <v>0</v>
      </c>
      <c r="AF125" s="156"/>
    </row>
    <row r="126" spans="1:32" s="9" customFormat="1" ht="13">
      <c r="B126" s="6">
        <f t="shared" si="62"/>
        <v>44657</v>
      </c>
      <c r="C126" s="45">
        <f>SMALL(Daten!W:W,COUNTIF(Daten!W:W,"&lt;"&amp;Stundenaufzeichnung!B126+1))</f>
        <v>44578</v>
      </c>
      <c r="D126" s="45" t="str">
        <f t="shared" si="57"/>
        <v/>
      </c>
      <c r="E126" s="8">
        <f t="shared" si="58"/>
        <v>5</v>
      </c>
      <c r="F126" s="8">
        <f t="shared" si="63"/>
        <v>3</v>
      </c>
      <c r="G126" s="8">
        <f>IF(B126="","",VLOOKUP(E126,Datenblatt!$L$2:$N$8,3,FALSE))</f>
        <v>0</v>
      </c>
      <c r="H126" s="8" t="str">
        <f t="shared" si="64"/>
        <v/>
      </c>
      <c r="I126" s="11" t="str">
        <f>IFERROR(VLOOKUP(B126,Datenblatt!$E:$F,2,FALSE),"")</f>
        <v/>
      </c>
      <c r="J126" s="113"/>
      <c r="K126" s="19">
        <f>IF(B126&lt;Datenblatt!$B$9,"",IF(B126="","",IF(G126=0,Datenblatt!$B$7,"")))</f>
        <v>6.67</v>
      </c>
      <c r="L126" s="19" t="str">
        <f t="shared" si="65"/>
        <v/>
      </c>
      <c r="M126" s="124" t="str">
        <f t="shared" si="66"/>
        <v/>
      </c>
      <c r="N126" s="124" t="str">
        <f>IF(AND(L126=Datenblatt!$B$7,NOT(L125=Datenblatt!$B$7),NOT(L127=Datenblatt!$B$7)),"y",IF(AND(L126=Datenblatt!$B$7,L127=Datenblatt!$B$7,NOT(L125=Datenblatt!$B$7)),"a",IF(AND(L126=Datenblatt!$B$7,L125=Datenblatt!$B$7,NOT(L127=Datenblatt!$B$7)),"b","")))</f>
        <v/>
      </c>
      <c r="O126" s="19" t="str">
        <f t="shared" si="67"/>
        <v/>
      </c>
      <c r="P126" s="124" t="str">
        <f>IF(AND(M126=Datenblatt!$B$7,NOT(M125=Datenblatt!$B$7),NOT(M127=Datenblatt!$B$7)),"y",IF(AND(M126=Datenblatt!$B$7,M127=Datenblatt!$B$7,NOT(M125=Datenblatt!$B$7)),"a",IF(AND(M126=Datenblatt!$B$7,M125=Datenblatt!$B$7,NOT(M127=Datenblatt!$B$7)),"b","")))</f>
        <v/>
      </c>
      <c r="Q126" s="19" t="str">
        <f t="shared" si="68"/>
        <v/>
      </c>
      <c r="R126" s="124" t="str">
        <f>IF(I126="","",IF(AND(OR(J126="Krankenstand",J126="Urlaub",J126=""), AND(G126=0,NOT(I126=""))),Datenblatt!$B$7,""))</f>
        <v/>
      </c>
      <c r="S126" s="19" t="str">
        <f>IF(OR(J126="Krankenstand",J126="Urlaub"),"",IF(J126="","",VLOOKUP(D126,Dienste!C:W,21,)))</f>
        <v/>
      </c>
      <c r="T126" s="18" t="str">
        <f>IF(OR(J126="Krankenstand",J126="Urlaub"),"",IF(J126="","",VLOOKUP(D126,Dienste!C:W,5,)))</f>
        <v/>
      </c>
      <c r="U126" s="18" t="str">
        <f>IF(OR(J126="Krankenstand",J126="Urlaub"),"",IF(J126="","",VLOOKUP(D126,Dienste!C:W,6,)))</f>
        <v/>
      </c>
      <c r="V126" s="18" t="str">
        <f>IF(OR(J126="Krankenstand",J126="Urlaub"),"",IF(J126="","",VLOOKUP(D126,Dienste!C:W,7,)))</f>
        <v/>
      </c>
      <c r="W126" s="18" t="str">
        <f>IF(OR(J126="Krankenstand",J126="Urlaub"),"",IF(J126="","",VLOOKUP(D126,Dienste!C:W,11,)))</f>
        <v/>
      </c>
      <c r="X126" s="18" t="str">
        <f>IF(OR(J126="Krankenstand",J126="Urlaub"),"",IF(J126="","",VLOOKUP(D126,Dienste!C:W,12,)))</f>
        <v/>
      </c>
      <c r="Y126" s="19" t="str">
        <f>IF(OR(J126="Krankenstand",J126="Urlaub"),"",IF(J126="","",VLOOKUP(D126,Dienste!C:W,14,)))</f>
        <v/>
      </c>
      <c r="Z126" s="20" t="str">
        <f>IF(OR(J126="Krankenstand",J126="Urlaub"),"",IF(J126="","",VLOOKUP(D126,Dienste!C:W,15,)))</f>
        <v/>
      </c>
      <c r="AA126" s="124" t="str">
        <f t="shared" si="59"/>
        <v/>
      </c>
      <c r="AB126" s="19" t="str">
        <f t="shared" si="60"/>
        <v/>
      </c>
      <c r="AC126" s="126" t="str">
        <f>_xlfn.CONCAT(_xlfn.CONCAT(IF(I126="","",_xlfn.CONCAT("FT: ",I126,IF(J126="","","; "))),IF(B126&lt;Datenblatt!$B$9,"",IF(B126="","",IF(NOT(J126=""),SUBSTITUTE(SUBSTITUTE(SUBSTITUTE(J126," mR","")," oR","")," O",""),"")))),IF(AF126="","",_xlfn.CONCAT(CHAR(10),"; ",AF126)))</f>
        <v/>
      </c>
      <c r="AD126" s="124" t="str">
        <f t="shared" si="69"/>
        <v/>
      </c>
      <c r="AE126" s="19">
        <f t="shared" si="61"/>
        <v>0</v>
      </c>
      <c r="AF126" s="156"/>
    </row>
    <row r="127" spans="1:32" s="9" customFormat="1" ht="13">
      <c r="B127" s="6">
        <f t="shared" si="62"/>
        <v>44658</v>
      </c>
      <c r="C127" s="45">
        <f>SMALL(Daten!W:W,COUNTIF(Daten!W:W,"&lt;"&amp;Stundenaufzeichnung!B127+1))</f>
        <v>44578</v>
      </c>
      <c r="D127" s="45" t="str">
        <f t="shared" si="57"/>
        <v/>
      </c>
      <c r="E127" s="8">
        <f t="shared" si="58"/>
        <v>6</v>
      </c>
      <c r="F127" s="8">
        <f t="shared" si="63"/>
        <v>4</v>
      </c>
      <c r="G127" s="8">
        <f>IF(B127="","",VLOOKUP(E127,Datenblatt!$L$2:$N$8,3,FALSE))</f>
        <v>0</v>
      </c>
      <c r="H127" s="8" t="str">
        <f t="shared" si="64"/>
        <v/>
      </c>
      <c r="I127" s="11" t="str">
        <f>IFERROR(VLOOKUP(B127,Datenblatt!$E:$F,2,FALSE),"")</f>
        <v/>
      </c>
      <c r="J127" s="113"/>
      <c r="K127" s="19">
        <f>IF(B127&lt;Datenblatt!$B$9,"",IF(B127="","",IF(G127=0,Datenblatt!$B$7,"")))</f>
        <v>6.67</v>
      </c>
      <c r="L127" s="19" t="str">
        <f t="shared" si="65"/>
        <v/>
      </c>
      <c r="M127" s="124" t="str">
        <f t="shared" si="66"/>
        <v/>
      </c>
      <c r="N127" s="124" t="str">
        <f>IF(AND(L127=Datenblatt!$B$7,NOT(L126=Datenblatt!$B$7),NOT(L128=Datenblatt!$B$7)),"y",IF(AND(L127=Datenblatt!$B$7,L128=Datenblatt!$B$7,NOT(L126=Datenblatt!$B$7)),"a",IF(AND(L127=Datenblatt!$B$7,L126=Datenblatt!$B$7,NOT(L128=Datenblatt!$B$7)),"b","")))</f>
        <v/>
      </c>
      <c r="O127" s="19" t="str">
        <f t="shared" si="67"/>
        <v/>
      </c>
      <c r="P127" s="124" t="str">
        <f>IF(AND(M127=Datenblatt!$B$7,NOT(M126=Datenblatt!$B$7),NOT(M128=Datenblatt!$B$7)),"y",IF(AND(M127=Datenblatt!$B$7,M128=Datenblatt!$B$7,NOT(M126=Datenblatt!$B$7)),"a",IF(AND(M127=Datenblatt!$B$7,M126=Datenblatt!$B$7,NOT(M128=Datenblatt!$B$7)),"b","")))</f>
        <v/>
      </c>
      <c r="Q127" s="19" t="str">
        <f t="shared" si="68"/>
        <v/>
      </c>
      <c r="R127" s="124" t="str">
        <f>IF(I127="","",IF(AND(OR(J127="Krankenstand",J127="Urlaub",J127=""), AND(G127=0,NOT(I127=""))),Datenblatt!$B$7,""))</f>
        <v/>
      </c>
      <c r="S127" s="19" t="str">
        <f>IF(OR(J127="Krankenstand",J127="Urlaub"),"",IF(J127="","",VLOOKUP(D127,Dienste!C:W,21,)))</f>
        <v/>
      </c>
      <c r="T127" s="18" t="str">
        <f>IF(OR(J127="Krankenstand",J127="Urlaub"),"",IF(J127="","",VLOOKUP(D127,Dienste!C:W,5,)))</f>
        <v/>
      </c>
      <c r="U127" s="18" t="str">
        <f>IF(OR(J127="Krankenstand",J127="Urlaub"),"",IF(J127="","",VLOOKUP(D127,Dienste!C:W,6,)))</f>
        <v/>
      </c>
      <c r="V127" s="18" t="str">
        <f>IF(OR(J127="Krankenstand",J127="Urlaub"),"",IF(J127="","",VLOOKUP(D127,Dienste!C:W,7,)))</f>
        <v/>
      </c>
      <c r="W127" s="18" t="str">
        <f>IF(OR(J127="Krankenstand",J127="Urlaub"),"",IF(J127="","",VLOOKUP(D127,Dienste!C:W,11,)))</f>
        <v/>
      </c>
      <c r="X127" s="18" t="str">
        <f>IF(OR(J127="Krankenstand",J127="Urlaub"),"",IF(J127="","",VLOOKUP(D127,Dienste!C:W,12,)))</f>
        <v/>
      </c>
      <c r="Y127" s="19" t="str">
        <f>IF(OR(J127="Krankenstand",J127="Urlaub"),"",IF(J127="","",VLOOKUP(D127,Dienste!C:W,14,)))</f>
        <v/>
      </c>
      <c r="Z127" s="20" t="str">
        <f>IF(OR(J127="Krankenstand",J127="Urlaub"),"",IF(J127="","",VLOOKUP(D127,Dienste!C:W,15,)))</f>
        <v/>
      </c>
      <c r="AA127" s="124" t="str">
        <f t="shared" si="59"/>
        <v/>
      </c>
      <c r="AB127" s="19" t="str">
        <f t="shared" si="60"/>
        <v/>
      </c>
      <c r="AC127" s="126" t="str">
        <f>_xlfn.CONCAT(_xlfn.CONCAT(IF(I127="","",_xlfn.CONCAT("FT: ",I127,IF(J127="","","; "))),IF(B127&lt;Datenblatt!$B$9,"",IF(B127="","",IF(NOT(J127=""),SUBSTITUTE(SUBSTITUTE(SUBSTITUTE(J127," mR","")," oR","")," O",""),"")))),IF(AF127="","",_xlfn.CONCAT(CHAR(10),"; ",AF127)))</f>
        <v/>
      </c>
      <c r="AD127" s="124" t="str">
        <f t="shared" si="69"/>
        <v/>
      </c>
      <c r="AE127" s="19">
        <f t="shared" si="61"/>
        <v>0</v>
      </c>
      <c r="AF127" s="156"/>
    </row>
    <row r="128" spans="1:32" s="9" customFormat="1" ht="13">
      <c r="B128" s="6">
        <f t="shared" si="62"/>
        <v>44659</v>
      </c>
      <c r="C128" s="45">
        <f>SMALL(Daten!W:W,COUNTIF(Daten!W:W,"&lt;"&amp;Stundenaufzeichnung!B128+1))</f>
        <v>44578</v>
      </c>
      <c r="D128" s="45" t="str">
        <f t="shared" si="57"/>
        <v/>
      </c>
      <c r="E128" s="8">
        <f t="shared" si="58"/>
        <v>7</v>
      </c>
      <c r="F128" s="8">
        <f t="shared" si="63"/>
        <v>5</v>
      </c>
      <c r="G128" s="8">
        <f>IF(B128="","",VLOOKUP(E128,Datenblatt!$L$2:$N$8,3,FALSE))</f>
        <v>0</v>
      </c>
      <c r="H128" s="8" t="str">
        <f t="shared" si="64"/>
        <v/>
      </c>
      <c r="I128" s="11" t="str">
        <f>IFERROR(VLOOKUP(B128,Datenblatt!$E:$F,2,FALSE),"")</f>
        <v/>
      </c>
      <c r="J128" s="113"/>
      <c r="K128" s="19">
        <f>IF(B128&lt;Datenblatt!$B$9,"",IF(B128="","",IF(G128=0,Datenblatt!$B$7,"")))</f>
        <v>6.67</v>
      </c>
      <c r="L128" s="19" t="str">
        <f t="shared" si="65"/>
        <v/>
      </c>
      <c r="M128" s="124" t="str">
        <f t="shared" si="66"/>
        <v/>
      </c>
      <c r="N128" s="124" t="str">
        <f>IF(AND(L128=Datenblatt!$B$7,NOT(L127=Datenblatt!$B$7),NOT(L129=Datenblatt!$B$7)),"y",IF(AND(L128=Datenblatt!$B$7,L129=Datenblatt!$B$7,NOT(L127=Datenblatt!$B$7)),"a",IF(AND(L128=Datenblatt!$B$7,L127=Datenblatt!$B$7,NOT(L129=Datenblatt!$B$7)),"b","")))</f>
        <v/>
      </c>
      <c r="O128" s="19" t="str">
        <f t="shared" si="67"/>
        <v/>
      </c>
      <c r="P128" s="124" t="str">
        <f>IF(AND(M128=Datenblatt!$B$7,NOT(M127=Datenblatt!$B$7),NOT(M129=Datenblatt!$B$7)),"y",IF(AND(M128=Datenblatt!$B$7,M129=Datenblatt!$B$7,NOT(M127=Datenblatt!$B$7)),"a",IF(AND(M128=Datenblatt!$B$7,M127=Datenblatt!$B$7,NOT(M129=Datenblatt!$B$7)),"b","")))</f>
        <v/>
      </c>
      <c r="Q128" s="19" t="str">
        <f t="shared" si="68"/>
        <v/>
      </c>
      <c r="R128" s="124" t="str">
        <f>IF(I128="","",IF(AND(OR(J128="Krankenstand",J128="Urlaub",J128=""), AND(G128=0,NOT(I128=""))),Datenblatt!$B$7,""))</f>
        <v/>
      </c>
      <c r="S128" s="19" t="str">
        <f>IF(OR(J128="Krankenstand",J128="Urlaub"),"",IF(J128="","",VLOOKUP(D128,Dienste!C:W,21,)))</f>
        <v/>
      </c>
      <c r="T128" s="18" t="str">
        <f>IF(OR(J128="Krankenstand",J128="Urlaub"),"",IF(J128="","",VLOOKUP(D128,Dienste!C:W,5,)))</f>
        <v/>
      </c>
      <c r="U128" s="18" t="str">
        <f>IF(OR(J128="Krankenstand",J128="Urlaub"),"",IF(J128="","",VLOOKUP(D128,Dienste!C:W,6,)))</f>
        <v/>
      </c>
      <c r="V128" s="18" t="str">
        <f>IF(OR(J128="Krankenstand",J128="Urlaub"),"",IF(J128="","",VLOOKUP(D128,Dienste!C:W,7,)))</f>
        <v/>
      </c>
      <c r="W128" s="18" t="str">
        <f>IF(OR(J128="Krankenstand",J128="Urlaub"),"",IF(J128="","",VLOOKUP(D128,Dienste!C:W,11,)))</f>
        <v/>
      </c>
      <c r="X128" s="18" t="str">
        <f>IF(OR(J128="Krankenstand",J128="Urlaub"),"",IF(J128="","",VLOOKUP(D128,Dienste!C:W,12,)))</f>
        <v/>
      </c>
      <c r="Y128" s="19" t="str">
        <f>IF(OR(J128="Krankenstand",J128="Urlaub"),"",IF(J128="","",VLOOKUP(D128,Dienste!C:W,14,)))</f>
        <v/>
      </c>
      <c r="Z128" s="20" t="str">
        <f>IF(OR(J128="Krankenstand",J128="Urlaub"),"",IF(J128="","",VLOOKUP(D128,Dienste!C:W,15,)))</f>
        <v/>
      </c>
      <c r="AA128" s="124" t="str">
        <f t="shared" si="59"/>
        <v/>
      </c>
      <c r="AB128" s="19" t="str">
        <f t="shared" si="60"/>
        <v/>
      </c>
      <c r="AC128" s="126" t="str">
        <f>_xlfn.CONCAT(_xlfn.CONCAT(IF(I128="","",_xlfn.CONCAT("FT: ",I128,IF(J128="","","; "))),IF(B128&lt;Datenblatt!$B$9,"",IF(B128="","",IF(NOT(J128=""),SUBSTITUTE(SUBSTITUTE(SUBSTITUTE(J128," mR","")," oR","")," O",""),"")))),IF(AF128="","",_xlfn.CONCAT(CHAR(10),"; ",AF128)))</f>
        <v/>
      </c>
      <c r="AD128" s="124" t="str">
        <f t="shared" si="69"/>
        <v/>
      </c>
      <c r="AE128" s="19">
        <f t="shared" si="61"/>
        <v>0</v>
      </c>
      <c r="AF128" s="156"/>
    </row>
    <row r="129" spans="2:32" s="9" customFormat="1" ht="13">
      <c r="B129" s="6">
        <f t="shared" si="62"/>
        <v>44660</v>
      </c>
      <c r="C129" s="45">
        <f>SMALL(Daten!W:W,COUNTIF(Daten!W:W,"&lt;"&amp;Stundenaufzeichnung!B129+1))</f>
        <v>44578</v>
      </c>
      <c r="D129" s="45" t="str">
        <f t="shared" si="57"/>
        <v/>
      </c>
      <c r="E129" s="8">
        <f t="shared" si="58"/>
        <v>1</v>
      </c>
      <c r="F129" s="8">
        <f t="shared" si="63"/>
        <v>6</v>
      </c>
      <c r="G129" s="8">
        <f>IF(B129="","",VLOOKUP(E129,Datenblatt!$L$2:$N$8,3,FALSE))</f>
        <v>0</v>
      </c>
      <c r="H129" s="8" t="str">
        <f t="shared" si="64"/>
        <v/>
      </c>
      <c r="I129" s="11" t="str">
        <f>IFERROR(VLOOKUP(B129,Datenblatt!$E:$F,2,FALSE),"")</f>
        <v/>
      </c>
      <c r="J129" s="113"/>
      <c r="K129" s="19">
        <f>IF(B129&lt;Datenblatt!$B$9,"",IF(B129="","",IF(G129=0,Datenblatt!$B$7,"")))</f>
        <v>6.67</v>
      </c>
      <c r="L129" s="19" t="str">
        <f t="shared" si="65"/>
        <v/>
      </c>
      <c r="M129" s="124" t="str">
        <f t="shared" si="66"/>
        <v/>
      </c>
      <c r="N129" s="124" t="str">
        <f>IF(AND(L129=Datenblatt!$B$7,NOT(L128=Datenblatt!$B$7),NOT(L130=Datenblatt!$B$7)),"y",IF(AND(L129=Datenblatt!$B$7,L130=Datenblatt!$B$7,NOT(L128=Datenblatt!$B$7)),"a",IF(AND(L129=Datenblatt!$B$7,L128=Datenblatt!$B$7,NOT(L130=Datenblatt!$B$7)),"b","")))</f>
        <v/>
      </c>
      <c r="O129" s="19" t="str">
        <f t="shared" si="67"/>
        <v/>
      </c>
      <c r="P129" s="124" t="str">
        <f>IF(AND(M129=Datenblatt!$B$7,NOT(M128=Datenblatt!$B$7),NOT(M130=Datenblatt!$B$7)),"y",IF(AND(M129=Datenblatt!$B$7,M130=Datenblatt!$B$7,NOT(M128=Datenblatt!$B$7)),"a",IF(AND(M129=Datenblatt!$B$7,M128=Datenblatt!$B$7,NOT(M130=Datenblatt!$B$7)),"b","")))</f>
        <v/>
      </c>
      <c r="Q129" s="19" t="str">
        <f t="shared" si="68"/>
        <v/>
      </c>
      <c r="R129" s="124" t="str">
        <f>IF(I129="","",IF(AND(OR(J129="Krankenstand",J129="Urlaub",J129=""), AND(G129=0,NOT(I129=""))),Datenblatt!$B$7,""))</f>
        <v/>
      </c>
      <c r="S129" s="19" t="str">
        <f>IF(OR(J129="Krankenstand",J129="Urlaub"),"",IF(J129="","",VLOOKUP(D129,Dienste!C:W,21,)))</f>
        <v/>
      </c>
      <c r="T129" s="18" t="str">
        <f>IF(OR(J129="Krankenstand",J129="Urlaub"),"",IF(J129="","",VLOOKUP(D129,Dienste!C:W,5,)))</f>
        <v/>
      </c>
      <c r="U129" s="18" t="str">
        <f>IF(OR(J129="Krankenstand",J129="Urlaub"),"",IF(J129="","",VLOOKUP(D129,Dienste!C:W,6,)))</f>
        <v/>
      </c>
      <c r="V129" s="18" t="str">
        <f>IF(OR(J129="Krankenstand",J129="Urlaub"),"",IF(J129="","",VLOOKUP(D129,Dienste!C:W,7,)))</f>
        <v/>
      </c>
      <c r="W129" s="18" t="str">
        <f>IF(OR(J129="Krankenstand",J129="Urlaub"),"",IF(J129="","",VLOOKUP(D129,Dienste!C:W,11,)))</f>
        <v/>
      </c>
      <c r="X129" s="18" t="str">
        <f>IF(OR(J129="Krankenstand",J129="Urlaub"),"",IF(J129="","",VLOOKUP(D129,Dienste!C:W,12,)))</f>
        <v/>
      </c>
      <c r="Y129" s="19" t="str">
        <f>IF(OR(J129="Krankenstand",J129="Urlaub"),"",IF(J129="","",VLOOKUP(D129,Dienste!C:W,14,)))</f>
        <v/>
      </c>
      <c r="Z129" s="20" t="str">
        <f>IF(OR(J129="Krankenstand",J129="Urlaub"),"",IF(J129="","",VLOOKUP(D129,Dienste!C:W,15,)))</f>
        <v/>
      </c>
      <c r="AA129" s="124" t="str">
        <f t="shared" si="59"/>
        <v/>
      </c>
      <c r="AB129" s="19" t="str">
        <f t="shared" si="60"/>
        <v/>
      </c>
      <c r="AC129" s="126" t="str">
        <f>_xlfn.CONCAT(_xlfn.CONCAT(IF(I129="","",_xlfn.CONCAT("FT: ",I129,IF(J129="","","; "))),IF(B129&lt;Datenblatt!$B$9,"",IF(B129="","",IF(NOT(J129=""),SUBSTITUTE(SUBSTITUTE(SUBSTITUTE(J129," mR","")," oR","")," O",""),"")))),IF(AF129="","",_xlfn.CONCAT(CHAR(10),"; ",AF129)))</f>
        <v/>
      </c>
      <c r="AD129" s="124" t="str">
        <f t="shared" si="69"/>
        <v/>
      </c>
      <c r="AE129" s="19">
        <f t="shared" si="61"/>
        <v>0</v>
      </c>
      <c r="AF129" s="156"/>
    </row>
    <row r="130" spans="2:32" s="9" customFormat="1" ht="13">
      <c r="B130" s="6">
        <f t="shared" si="62"/>
        <v>44661</v>
      </c>
      <c r="C130" s="45">
        <f>SMALL(Daten!W:W,COUNTIF(Daten!W:W,"&lt;"&amp;Stundenaufzeichnung!B130+1))</f>
        <v>44578</v>
      </c>
      <c r="D130" s="45" t="str">
        <f t="shared" si="57"/>
        <v/>
      </c>
      <c r="E130" s="8">
        <f t="shared" si="58"/>
        <v>2</v>
      </c>
      <c r="F130" s="8">
        <f t="shared" si="63"/>
        <v>7</v>
      </c>
      <c r="G130" s="8">
        <f>IF(B130="","",VLOOKUP(E130,Datenblatt!$L$2:$N$8,3,FALSE))</f>
        <v>1</v>
      </c>
      <c r="H130" s="8" t="str">
        <f t="shared" si="64"/>
        <v>x</v>
      </c>
      <c r="I130" s="11" t="str">
        <f>IFERROR(VLOOKUP(B130,Datenblatt!$E:$F,2,FALSE),"")</f>
        <v/>
      </c>
      <c r="J130" s="113"/>
      <c r="K130" s="19" t="str">
        <f>IF(B130&lt;Datenblatt!$B$9,"",IF(B130="","",IF(G130=0,Datenblatt!$B$7,"")))</f>
        <v/>
      </c>
      <c r="L130" s="19" t="str">
        <f t="shared" si="65"/>
        <v/>
      </c>
      <c r="M130" s="124" t="str">
        <f t="shared" si="66"/>
        <v/>
      </c>
      <c r="N130" s="124" t="str">
        <f>IF(AND(L130=Datenblatt!$B$7,NOT(L129=Datenblatt!$B$7),NOT(L131=Datenblatt!$B$7)),"y",IF(AND(L130=Datenblatt!$B$7,L131=Datenblatt!$B$7,NOT(L129=Datenblatt!$B$7)),"a",IF(AND(L130=Datenblatt!$B$7,L129=Datenblatt!$B$7,NOT(L131=Datenblatt!$B$7)),"b","")))</f>
        <v/>
      </c>
      <c r="O130" s="19" t="str">
        <f t="shared" si="67"/>
        <v/>
      </c>
      <c r="P130" s="124" t="str">
        <f>IF(AND(M130=Datenblatt!$B$7,NOT(M129=Datenblatt!$B$7),NOT(M131=Datenblatt!$B$7)),"y",IF(AND(M130=Datenblatt!$B$7,M131=Datenblatt!$B$7,NOT(M129=Datenblatt!$B$7)),"a",IF(AND(M130=Datenblatt!$B$7,M129=Datenblatt!$B$7,NOT(M131=Datenblatt!$B$7)),"b","")))</f>
        <v/>
      </c>
      <c r="Q130" s="19" t="str">
        <f t="shared" si="68"/>
        <v/>
      </c>
      <c r="R130" s="124" t="str">
        <f>IF(I130="","",IF(AND(OR(J130="Krankenstand",J130="Urlaub",J130=""), AND(G130=0,NOT(I130=""))),Datenblatt!$B$7,""))</f>
        <v/>
      </c>
      <c r="S130" s="19" t="str">
        <f>IF(OR(J130="Krankenstand",J130="Urlaub"),"",IF(J130="","",VLOOKUP(D130,Dienste!C:W,21,)))</f>
        <v/>
      </c>
      <c r="T130" s="18" t="str">
        <f>IF(OR(J130="Krankenstand",J130="Urlaub"),"",IF(J130="","",VLOOKUP(D130,Dienste!C:W,5,)))</f>
        <v/>
      </c>
      <c r="U130" s="18" t="str">
        <f>IF(OR(J130="Krankenstand",J130="Urlaub"),"",IF(J130="","",VLOOKUP(D130,Dienste!C:W,6,)))</f>
        <v/>
      </c>
      <c r="V130" s="18" t="str">
        <f>IF(OR(J130="Krankenstand",J130="Urlaub"),"",IF(J130="","",VLOOKUP(D130,Dienste!C:W,7,)))</f>
        <v/>
      </c>
      <c r="W130" s="18" t="str">
        <f>IF(OR(J130="Krankenstand",J130="Urlaub"),"",IF(J130="","",VLOOKUP(D130,Dienste!C:W,11,)))</f>
        <v/>
      </c>
      <c r="X130" s="18" t="str">
        <f>IF(OR(J130="Krankenstand",J130="Urlaub"),"",IF(J130="","",VLOOKUP(D130,Dienste!C:W,12,)))</f>
        <v/>
      </c>
      <c r="Y130" s="19" t="str">
        <f>IF(OR(J130="Krankenstand",J130="Urlaub"),"",IF(J130="","",VLOOKUP(D130,Dienste!C:W,14,)))</f>
        <v/>
      </c>
      <c r="Z130" s="20" t="str">
        <f>IF(OR(J130="Krankenstand",J130="Urlaub"),"",IF(J130="","",VLOOKUP(D130,Dienste!C:W,15,)))</f>
        <v/>
      </c>
      <c r="AA130" s="124" t="str">
        <f t="shared" si="59"/>
        <v/>
      </c>
      <c r="AB130" s="19" t="str">
        <f t="shared" si="60"/>
        <v/>
      </c>
      <c r="AC130" s="126" t="str">
        <f>_xlfn.CONCAT(_xlfn.CONCAT(IF(I130="","",_xlfn.CONCAT("FT: ",I130,IF(J130="","","; "))),IF(B130&lt;Datenblatt!$B$9,"",IF(B130="","",IF(NOT(J130=""),SUBSTITUTE(SUBSTITUTE(SUBSTITUTE(J130," mR","")," oR","")," O",""),"")))),IF(AF130="","",_xlfn.CONCAT(CHAR(10),"; ",AF130)))</f>
        <v/>
      </c>
      <c r="AD130" s="124" t="str">
        <f t="shared" si="69"/>
        <v/>
      </c>
      <c r="AE130" s="19">
        <f t="shared" si="61"/>
        <v>0</v>
      </c>
      <c r="AF130" s="156"/>
    </row>
    <row r="131" spans="2:32" s="9" customFormat="1" ht="13">
      <c r="B131" s="6">
        <f t="shared" si="62"/>
        <v>44662</v>
      </c>
      <c r="C131" s="45">
        <f>SMALL(Daten!W:W,COUNTIF(Daten!W:W,"&lt;"&amp;Stundenaufzeichnung!B131+1))</f>
        <v>44578</v>
      </c>
      <c r="D131" s="45" t="str">
        <f t="shared" si="57"/>
        <v/>
      </c>
      <c r="E131" s="8">
        <f t="shared" si="58"/>
        <v>3</v>
      </c>
      <c r="F131" s="8">
        <f t="shared" si="63"/>
        <v>1</v>
      </c>
      <c r="G131" s="8">
        <f>IF(B131="","",VLOOKUP(E131,Datenblatt!$L$2:$N$8,3,FALSE))</f>
        <v>0</v>
      </c>
      <c r="H131" s="8" t="str">
        <f t="shared" si="64"/>
        <v/>
      </c>
      <c r="I131" s="11" t="str">
        <f>IFERROR(VLOOKUP(B131,Datenblatt!$E:$F,2,FALSE),"")</f>
        <v/>
      </c>
      <c r="J131" s="113"/>
      <c r="K131" s="19">
        <f>IF(B131&lt;Datenblatt!$B$9,"",IF(B131="","",IF(G131=0,Datenblatt!$B$7,"")))</f>
        <v>6.67</v>
      </c>
      <c r="L131" s="19" t="str">
        <f t="shared" si="65"/>
        <v/>
      </c>
      <c r="M131" s="124" t="str">
        <f t="shared" si="66"/>
        <v/>
      </c>
      <c r="N131" s="124" t="str">
        <f>IF(AND(L131=Datenblatt!$B$7,NOT(L130=Datenblatt!$B$7),NOT(L132=Datenblatt!$B$7)),"y",IF(AND(L131=Datenblatt!$B$7,L132=Datenblatt!$B$7,NOT(L130=Datenblatt!$B$7)),"a",IF(AND(L131=Datenblatt!$B$7,L130=Datenblatt!$B$7,NOT(L132=Datenblatt!$B$7)),"b","")))</f>
        <v/>
      </c>
      <c r="O131" s="19" t="str">
        <f t="shared" si="67"/>
        <v/>
      </c>
      <c r="P131" s="124" t="str">
        <f>IF(AND(M131=Datenblatt!$B$7,NOT(M130=Datenblatt!$B$7),NOT(M132=Datenblatt!$B$7)),"y",IF(AND(M131=Datenblatt!$B$7,M132=Datenblatt!$B$7,NOT(M130=Datenblatt!$B$7)),"a",IF(AND(M131=Datenblatt!$B$7,M130=Datenblatt!$B$7,NOT(M132=Datenblatt!$B$7)),"b","")))</f>
        <v/>
      </c>
      <c r="Q131" s="19" t="str">
        <f t="shared" si="68"/>
        <v/>
      </c>
      <c r="R131" s="124" t="str">
        <f>IF(I131="","",IF(AND(OR(J131="Krankenstand",J131="Urlaub",J131=""), AND(G131=0,NOT(I131=""))),Datenblatt!$B$7,""))</f>
        <v/>
      </c>
      <c r="S131" s="19" t="str">
        <f>IF(OR(J131="Krankenstand",J131="Urlaub"),"",IF(J131="","",VLOOKUP(D131,Dienste!C:W,21,)))</f>
        <v/>
      </c>
      <c r="T131" s="18" t="str">
        <f>IF(OR(J131="Krankenstand",J131="Urlaub"),"",IF(J131="","",VLOOKUP(D131,Dienste!C:W,5,)))</f>
        <v/>
      </c>
      <c r="U131" s="18" t="str">
        <f>IF(OR(J131="Krankenstand",J131="Urlaub"),"",IF(J131="","",VLOOKUP(D131,Dienste!C:W,6,)))</f>
        <v/>
      </c>
      <c r="V131" s="18" t="str">
        <f>IF(OR(J131="Krankenstand",J131="Urlaub"),"",IF(J131="","",VLOOKUP(D131,Dienste!C:W,7,)))</f>
        <v/>
      </c>
      <c r="W131" s="18" t="str">
        <f>IF(OR(J131="Krankenstand",J131="Urlaub"),"",IF(J131="","",VLOOKUP(D131,Dienste!C:W,11,)))</f>
        <v/>
      </c>
      <c r="X131" s="18" t="str">
        <f>IF(OR(J131="Krankenstand",J131="Urlaub"),"",IF(J131="","",VLOOKUP(D131,Dienste!C:W,12,)))</f>
        <v/>
      </c>
      <c r="Y131" s="19" t="str">
        <f>IF(OR(J131="Krankenstand",J131="Urlaub"),"",IF(J131="","",VLOOKUP(D131,Dienste!C:W,14,)))</f>
        <v/>
      </c>
      <c r="Z131" s="20" t="str">
        <f>IF(OR(J131="Krankenstand",J131="Urlaub"),"",IF(J131="","",VLOOKUP(D131,Dienste!C:W,15,)))</f>
        <v/>
      </c>
      <c r="AA131" s="124" t="str">
        <f t="shared" si="59"/>
        <v/>
      </c>
      <c r="AB131" s="19" t="str">
        <f t="shared" si="60"/>
        <v/>
      </c>
      <c r="AC131" s="126" t="str">
        <f>_xlfn.CONCAT(_xlfn.CONCAT(IF(I131="","",_xlfn.CONCAT("FT: ",I131,IF(J131="","","; "))),IF(B131&lt;Datenblatt!$B$9,"",IF(B131="","",IF(NOT(J131=""),SUBSTITUTE(SUBSTITUTE(SUBSTITUTE(J131," mR","")," oR","")," O",""),"")))),IF(AF131="","",_xlfn.CONCAT(CHAR(10),"; ",AF131)))</f>
        <v/>
      </c>
      <c r="AD131" s="124" t="str">
        <f t="shared" si="69"/>
        <v/>
      </c>
      <c r="AE131" s="19">
        <f t="shared" si="61"/>
        <v>0</v>
      </c>
      <c r="AF131" s="156"/>
    </row>
    <row r="132" spans="2:32" s="9" customFormat="1" ht="13">
      <c r="B132" s="6">
        <f t="shared" si="62"/>
        <v>44663</v>
      </c>
      <c r="C132" s="45">
        <f>SMALL(Daten!W:W,COUNTIF(Daten!W:W,"&lt;"&amp;Stundenaufzeichnung!B132+1))</f>
        <v>44578</v>
      </c>
      <c r="D132" s="45" t="str">
        <f t="shared" si="57"/>
        <v/>
      </c>
      <c r="E132" s="8">
        <f t="shared" si="58"/>
        <v>4</v>
      </c>
      <c r="F132" s="8">
        <f t="shared" si="63"/>
        <v>2</v>
      </c>
      <c r="G132" s="8">
        <f>IF(B132="","",VLOOKUP(E132,Datenblatt!$L$2:$N$8,3,FALSE))</f>
        <v>0</v>
      </c>
      <c r="H132" s="8" t="str">
        <f t="shared" si="64"/>
        <v/>
      </c>
      <c r="I132" s="11" t="str">
        <f>IFERROR(VLOOKUP(B132,Datenblatt!$E:$F,2,FALSE),"")</f>
        <v/>
      </c>
      <c r="J132" s="113"/>
      <c r="K132" s="19">
        <f>IF(B132&lt;Datenblatt!$B$9,"",IF(B132="","",IF(G132=0,Datenblatt!$B$7,"")))</f>
        <v>6.67</v>
      </c>
      <c r="L132" s="19" t="str">
        <f t="shared" si="65"/>
        <v/>
      </c>
      <c r="M132" s="124" t="str">
        <f t="shared" si="66"/>
        <v/>
      </c>
      <c r="N132" s="124" t="str">
        <f>IF(AND(L132=Datenblatt!$B$7,NOT(L131=Datenblatt!$B$7),NOT(L133=Datenblatt!$B$7)),"y",IF(AND(L132=Datenblatt!$B$7,L133=Datenblatt!$B$7,NOT(L131=Datenblatt!$B$7)),"a",IF(AND(L132=Datenblatt!$B$7,L131=Datenblatt!$B$7,NOT(L133=Datenblatt!$B$7)),"b","")))</f>
        <v/>
      </c>
      <c r="O132" s="19" t="str">
        <f t="shared" si="67"/>
        <v/>
      </c>
      <c r="P132" s="124" t="str">
        <f>IF(AND(M132=Datenblatt!$B$7,NOT(M131=Datenblatt!$B$7),NOT(M133=Datenblatt!$B$7)),"y",IF(AND(M132=Datenblatt!$B$7,M133=Datenblatt!$B$7,NOT(M131=Datenblatt!$B$7)),"a",IF(AND(M132=Datenblatt!$B$7,M131=Datenblatt!$B$7,NOT(M133=Datenblatt!$B$7)),"b","")))</f>
        <v/>
      </c>
      <c r="Q132" s="19" t="str">
        <f t="shared" si="68"/>
        <v/>
      </c>
      <c r="R132" s="124" t="str">
        <f>IF(I132="","",IF(AND(OR(J132="Krankenstand",J132="Urlaub",J132=""), AND(G132=0,NOT(I132=""))),Datenblatt!$B$7,""))</f>
        <v/>
      </c>
      <c r="S132" s="19" t="str">
        <f>IF(OR(J132="Krankenstand",J132="Urlaub"),"",IF(J132="","",VLOOKUP(D132,Dienste!C:W,21,)))</f>
        <v/>
      </c>
      <c r="T132" s="18" t="str">
        <f>IF(OR(J132="Krankenstand",J132="Urlaub"),"",IF(J132="","",VLOOKUP(D132,Dienste!C:W,5,)))</f>
        <v/>
      </c>
      <c r="U132" s="18" t="str">
        <f>IF(OR(J132="Krankenstand",J132="Urlaub"),"",IF(J132="","",VLOOKUP(D132,Dienste!C:W,6,)))</f>
        <v/>
      </c>
      <c r="V132" s="18" t="str">
        <f>IF(OR(J132="Krankenstand",J132="Urlaub"),"",IF(J132="","",VLOOKUP(D132,Dienste!C:W,7,)))</f>
        <v/>
      </c>
      <c r="W132" s="18" t="str">
        <f>IF(OR(J132="Krankenstand",J132="Urlaub"),"",IF(J132="","",VLOOKUP(D132,Dienste!C:W,11,)))</f>
        <v/>
      </c>
      <c r="X132" s="18" t="str">
        <f>IF(OR(J132="Krankenstand",J132="Urlaub"),"",IF(J132="","",VLOOKUP(D132,Dienste!C:W,12,)))</f>
        <v/>
      </c>
      <c r="Y132" s="19" t="str">
        <f>IF(OR(J132="Krankenstand",J132="Urlaub"),"",IF(J132="","",VLOOKUP(D132,Dienste!C:W,14,)))</f>
        <v/>
      </c>
      <c r="Z132" s="20" t="str">
        <f>IF(OR(J132="Krankenstand",J132="Urlaub"),"",IF(J132="","",VLOOKUP(D132,Dienste!C:W,15,)))</f>
        <v/>
      </c>
      <c r="AA132" s="124" t="str">
        <f t="shared" si="59"/>
        <v/>
      </c>
      <c r="AB132" s="19" t="str">
        <f t="shared" si="60"/>
        <v/>
      </c>
      <c r="AC132" s="126" t="str">
        <f>_xlfn.CONCAT(_xlfn.CONCAT(IF(I132="","",_xlfn.CONCAT("FT: ",I132,IF(J132="","","; "))),IF(B132&lt;Datenblatt!$B$9,"",IF(B132="","",IF(NOT(J132=""),SUBSTITUTE(SUBSTITUTE(SUBSTITUTE(J132," mR","")," oR","")," O",""),"")))),IF(AF132="","",_xlfn.CONCAT(CHAR(10),"; ",AF132)))</f>
        <v/>
      </c>
      <c r="AD132" s="124" t="str">
        <f t="shared" si="69"/>
        <v/>
      </c>
      <c r="AE132" s="19">
        <f t="shared" si="61"/>
        <v>0</v>
      </c>
      <c r="AF132" s="156"/>
    </row>
    <row r="133" spans="2:32" s="9" customFormat="1" ht="13">
      <c r="B133" s="6">
        <f t="shared" si="62"/>
        <v>44664</v>
      </c>
      <c r="C133" s="45">
        <f>SMALL(Daten!W:W,COUNTIF(Daten!W:W,"&lt;"&amp;Stundenaufzeichnung!B133+1))</f>
        <v>44578</v>
      </c>
      <c r="D133" s="45" t="str">
        <f t="shared" si="57"/>
        <v/>
      </c>
      <c r="E133" s="8">
        <f t="shared" si="58"/>
        <v>5</v>
      </c>
      <c r="F133" s="8">
        <f t="shared" si="63"/>
        <v>3</v>
      </c>
      <c r="G133" s="8">
        <f>IF(B133="","",VLOOKUP(E133,Datenblatt!$L$2:$N$8,3,FALSE))</f>
        <v>0</v>
      </c>
      <c r="H133" s="8" t="str">
        <f t="shared" si="64"/>
        <v/>
      </c>
      <c r="I133" s="11" t="str">
        <f>IFERROR(VLOOKUP(B133,Datenblatt!$E:$F,2,FALSE),"")</f>
        <v/>
      </c>
      <c r="J133" s="113"/>
      <c r="K133" s="19">
        <f>IF(B133&lt;Datenblatt!$B$9,"",IF(B133="","",IF(G133=0,Datenblatt!$B$7,"")))</f>
        <v>6.67</v>
      </c>
      <c r="L133" s="19" t="str">
        <f t="shared" si="65"/>
        <v/>
      </c>
      <c r="M133" s="124" t="str">
        <f t="shared" si="66"/>
        <v/>
      </c>
      <c r="N133" s="124" t="str">
        <f>IF(AND(L133=Datenblatt!$B$7,NOT(L132=Datenblatt!$B$7),NOT(L134=Datenblatt!$B$7)),"y",IF(AND(L133=Datenblatt!$B$7,L134=Datenblatt!$B$7,NOT(L132=Datenblatt!$B$7)),"a",IF(AND(L133=Datenblatt!$B$7,L132=Datenblatt!$B$7,NOT(L134=Datenblatt!$B$7)),"b","")))</f>
        <v/>
      </c>
      <c r="O133" s="19" t="str">
        <f t="shared" si="67"/>
        <v/>
      </c>
      <c r="P133" s="124" t="str">
        <f>IF(AND(M133=Datenblatt!$B$7,NOT(M132=Datenblatt!$B$7),NOT(M134=Datenblatt!$B$7)),"y",IF(AND(M133=Datenblatt!$B$7,M134=Datenblatt!$B$7,NOT(M132=Datenblatt!$B$7)),"a",IF(AND(M133=Datenblatt!$B$7,M132=Datenblatt!$B$7,NOT(M134=Datenblatt!$B$7)),"b","")))</f>
        <v/>
      </c>
      <c r="Q133" s="19" t="str">
        <f t="shared" si="68"/>
        <v/>
      </c>
      <c r="R133" s="124" t="str">
        <f>IF(I133="","",IF(AND(OR(J133="Krankenstand",J133="Urlaub",J133=""), AND(G133=0,NOT(I133=""))),Datenblatt!$B$7,""))</f>
        <v/>
      </c>
      <c r="S133" s="19" t="str">
        <f>IF(OR(J133="Krankenstand",J133="Urlaub"),"",IF(J133="","",VLOOKUP(D133,Dienste!C:W,21,)))</f>
        <v/>
      </c>
      <c r="T133" s="18" t="str">
        <f>IF(OR(J133="Krankenstand",J133="Urlaub"),"",IF(J133="","",VLOOKUP(D133,Dienste!C:W,5,)))</f>
        <v/>
      </c>
      <c r="U133" s="18" t="str">
        <f>IF(OR(J133="Krankenstand",J133="Urlaub"),"",IF(J133="","",VLOOKUP(D133,Dienste!C:W,6,)))</f>
        <v/>
      </c>
      <c r="V133" s="18" t="str">
        <f>IF(OR(J133="Krankenstand",J133="Urlaub"),"",IF(J133="","",VLOOKUP(D133,Dienste!C:W,7,)))</f>
        <v/>
      </c>
      <c r="W133" s="18" t="str">
        <f>IF(OR(J133="Krankenstand",J133="Urlaub"),"",IF(J133="","",VLOOKUP(D133,Dienste!C:W,11,)))</f>
        <v/>
      </c>
      <c r="X133" s="18" t="str">
        <f>IF(OR(J133="Krankenstand",J133="Urlaub"),"",IF(J133="","",VLOOKUP(D133,Dienste!C:W,12,)))</f>
        <v/>
      </c>
      <c r="Y133" s="19" t="str">
        <f>IF(OR(J133="Krankenstand",J133="Urlaub"),"",IF(J133="","",VLOOKUP(D133,Dienste!C:W,14,)))</f>
        <v/>
      </c>
      <c r="Z133" s="20" t="str">
        <f>IF(OR(J133="Krankenstand",J133="Urlaub"),"",IF(J133="","",VLOOKUP(D133,Dienste!C:W,15,)))</f>
        <v/>
      </c>
      <c r="AA133" s="124" t="str">
        <f t="shared" si="59"/>
        <v/>
      </c>
      <c r="AB133" s="19" t="str">
        <f t="shared" si="60"/>
        <v/>
      </c>
      <c r="AC133" s="126" t="str">
        <f>_xlfn.CONCAT(_xlfn.CONCAT(IF(I133="","",_xlfn.CONCAT("FT: ",I133,IF(J133="","","; "))),IF(B133&lt;Datenblatt!$B$9,"",IF(B133="","",IF(NOT(J133=""),SUBSTITUTE(SUBSTITUTE(SUBSTITUTE(J133," mR","")," oR","")," O",""),"")))),IF(AF133="","",_xlfn.CONCAT(CHAR(10),"; ",AF133)))</f>
        <v/>
      </c>
      <c r="AD133" s="124" t="str">
        <f t="shared" si="69"/>
        <v/>
      </c>
      <c r="AE133" s="19">
        <f t="shared" si="61"/>
        <v>0</v>
      </c>
      <c r="AF133" s="156"/>
    </row>
    <row r="134" spans="2:32" s="9" customFormat="1" ht="13">
      <c r="B134" s="6">
        <f t="shared" si="62"/>
        <v>44665</v>
      </c>
      <c r="C134" s="45">
        <f>SMALL(Daten!W:W,COUNTIF(Daten!W:W,"&lt;"&amp;Stundenaufzeichnung!B134+1))</f>
        <v>44578</v>
      </c>
      <c r="D134" s="45" t="str">
        <f t="shared" si="57"/>
        <v/>
      </c>
      <c r="E134" s="8">
        <f t="shared" si="58"/>
        <v>6</v>
      </c>
      <c r="F134" s="8">
        <f t="shared" si="63"/>
        <v>4</v>
      </c>
      <c r="G134" s="8">
        <f>IF(B134="","",VLOOKUP(E134,Datenblatt!$L$2:$N$8,3,FALSE))</f>
        <v>0</v>
      </c>
      <c r="H134" s="8" t="str">
        <f t="shared" si="64"/>
        <v/>
      </c>
      <c r="I134" s="11" t="str">
        <f>IFERROR(VLOOKUP(B134,Datenblatt!$E:$F,2,FALSE),"")</f>
        <v/>
      </c>
      <c r="J134" s="113"/>
      <c r="K134" s="19">
        <f>IF(B134&lt;Datenblatt!$B$9,"",IF(B134="","",IF(G134=0,Datenblatt!$B$7,"")))</f>
        <v>6.67</v>
      </c>
      <c r="L134" s="19" t="str">
        <f t="shared" si="65"/>
        <v/>
      </c>
      <c r="M134" s="124" t="str">
        <f t="shared" si="66"/>
        <v/>
      </c>
      <c r="N134" s="124" t="str">
        <f>IF(AND(L134=Datenblatt!$B$7,NOT(L133=Datenblatt!$B$7),NOT(L135=Datenblatt!$B$7)),"y",IF(AND(L134=Datenblatt!$B$7,L135=Datenblatt!$B$7,NOT(L133=Datenblatt!$B$7)),"a",IF(AND(L134=Datenblatt!$B$7,L133=Datenblatt!$B$7,NOT(L135=Datenblatt!$B$7)),"b","")))</f>
        <v/>
      </c>
      <c r="O134" s="19" t="str">
        <f t="shared" si="67"/>
        <v/>
      </c>
      <c r="P134" s="124" t="str">
        <f>IF(AND(M134=Datenblatt!$B$7,NOT(M133=Datenblatt!$B$7),NOT(M135=Datenblatt!$B$7)),"y",IF(AND(M134=Datenblatt!$B$7,M135=Datenblatt!$B$7,NOT(M133=Datenblatt!$B$7)),"a",IF(AND(M134=Datenblatt!$B$7,M133=Datenblatt!$B$7,NOT(M135=Datenblatt!$B$7)),"b","")))</f>
        <v/>
      </c>
      <c r="Q134" s="19" t="str">
        <f t="shared" si="68"/>
        <v/>
      </c>
      <c r="R134" s="124" t="str">
        <f>IF(I134="","",IF(AND(OR(J134="Krankenstand",J134="Urlaub",J134=""), AND(G134=0,NOT(I134=""))),Datenblatt!$B$7,""))</f>
        <v/>
      </c>
      <c r="S134" s="19" t="str">
        <f>IF(OR(J134="Krankenstand",J134="Urlaub"),"",IF(J134="","",VLOOKUP(D134,Dienste!C:W,21,)))</f>
        <v/>
      </c>
      <c r="T134" s="18" t="str">
        <f>IF(OR(J134="Krankenstand",J134="Urlaub"),"",IF(J134="","",VLOOKUP(D134,Dienste!C:W,5,)))</f>
        <v/>
      </c>
      <c r="U134" s="18" t="str">
        <f>IF(OR(J134="Krankenstand",J134="Urlaub"),"",IF(J134="","",VLOOKUP(D134,Dienste!C:W,6,)))</f>
        <v/>
      </c>
      <c r="V134" s="18" t="str">
        <f>IF(OR(J134="Krankenstand",J134="Urlaub"),"",IF(J134="","",VLOOKUP(D134,Dienste!C:W,7,)))</f>
        <v/>
      </c>
      <c r="W134" s="18" t="str">
        <f>IF(OR(J134="Krankenstand",J134="Urlaub"),"",IF(J134="","",VLOOKUP(D134,Dienste!C:W,11,)))</f>
        <v/>
      </c>
      <c r="X134" s="18" t="str">
        <f>IF(OR(J134="Krankenstand",J134="Urlaub"),"",IF(J134="","",VLOOKUP(D134,Dienste!C:W,12,)))</f>
        <v/>
      </c>
      <c r="Y134" s="19" t="str">
        <f>IF(OR(J134="Krankenstand",J134="Urlaub"),"",IF(J134="","",VLOOKUP(D134,Dienste!C:W,14,)))</f>
        <v/>
      </c>
      <c r="Z134" s="20" t="str">
        <f>IF(OR(J134="Krankenstand",J134="Urlaub"),"",IF(J134="","",VLOOKUP(D134,Dienste!C:W,15,)))</f>
        <v/>
      </c>
      <c r="AA134" s="124" t="str">
        <f t="shared" si="59"/>
        <v/>
      </c>
      <c r="AB134" s="19" t="str">
        <f t="shared" si="60"/>
        <v/>
      </c>
      <c r="AC134" s="126" t="str">
        <f>_xlfn.CONCAT(_xlfn.CONCAT(IF(I134="","",_xlfn.CONCAT("FT: ",I134,IF(J134="","","; "))),IF(B134&lt;Datenblatt!$B$9,"",IF(B134="","",IF(NOT(J134=""),SUBSTITUTE(SUBSTITUTE(SUBSTITUTE(J134," mR","")," oR","")," O",""),"")))),IF(AF134="","",_xlfn.CONCAT(CHAR(10),"; ",AF134)))</f>
        <v/>
      </c>
      <c r="AD134" s="124" t="str">
        <f t="shared" si="69"/>
        <v/>
      </c>
      <c r="AE134" s="19">
        <f t="shared" si="61"/>
        <v>0</v>
      </c>
      <c r="AF134" s="156"/>
    </row>
    <row r="135" spans="2:32" s="9" customFormat="1" ht="13">
      <c r="B135" s="6">
        <f t="shared" si="62"/>
        <v>44666</v>
      </c>
      <c r="C135" s="45">
        <f>SMALL(Daten!W:W,COUNTIF(Daten!W:W,"&lt;"&amp;Stundenaufzeichnung!B135+1))</f>
        <v>44578</v>
      </c>
      <c r="D135" s="45" t="str">
        <f t="shared" si="57"/>
        <v/>
      </c>
      <c r="E135" s="8">
        <f t="shared" si="58"/>
        <v>7</v>
      </c>
      <c r="F135" s="8">
        <f t="shared" si="63"/>
        <v>5</v>
      </c>
      <c r="G135" s="8">
        <f>IF(B135="","",VLOOKUP(E135,Datenblatt!$L$2:$N$8,3,FALSE))</f>
        <v>0</v>
      </c>
      <c r="H135" s="8" t="str">
        <f t="shared" si="64"/>
        <v/>
      </c>
      <c r="I135" s="11" t="str">
        <f>IFERROR(VLOOKUP(B135,Datenblatt!$E:$F,2,FALSE),"")</f>
        <v/>
      </c>
      <c r="J135" s="113"/>
      <c r="K135" s="19">
        <f>IF(B135&lt;Datenblatt!$B$9,"",IF(B135="","",IF(G135=0,Datenblatt!$B$7,"")))</f>
        <v>6.67</v>
      </c>
      <c r="L135" s="19" t="str">
        <f t="shared" si="65"/>
        <v/>
      </c>
      <c r="M135" s="124" t="str">
        <f t="shared" si="66"/>
        <v/>
      </c>
      <c r="N135" s="124" t="str">
        <f>IF(AND(L135=Datenblatt!$B$7,NOT(L134=Datenblatt!$B$7),NOT(L136=Datenblatt!$B$7)),"y",IF(AND(L135=Datenblatt!$B$7,L136=Datenblatt!$B$7,NOT(L134=Datenblatt!$B$7)),"a",IF(AND(L135=Datenblatt!$B$7,L134=Datenblatt!$B$7,NOT(L136=Datenblatt!$B$7)),"b","")))</f>
        <v/>
      </c>
      <c r="O135" s="19" t="str">
        <f t="shared" si="67"/>
        <v/>
      </c>
      <c r="P135" s="124" t="str">
        <f>IF(AND(M135=Datenblatt!$B$7,NOT(M134=Datenblatt!$B$7),NOT(M136=Datenblatt!$B$7)),"y",IF(AND(M135=Datenblatt!$B$7,M136=Datenblatt!$B$7,NOT(M134=Datenblatt!$B$7)),"a",IF(AND(M135=Datenblatt!$B$7,M134=Datenblatt!$B$7,NOT(M136=Datenblatt!$B$7)),"b","")))</f>
        <v/>
      </c>
      <c r="Q135" s="19" t="str">
        <f t="shared" si="68"/>
        <v/>
      </c>
      <c r="R135" s="124" t="str">
        <f>IF(I135="","",IF(AND(OR(J135="Krankenstand",J135="Urlaub",J135=""), AND(G135=0,NOT(I135=""))),Datenblatt!$B$7,""))</f>
        <v/>
      </c>
      <c r="S135" s="19" t="str">
        <f>IF(OR(J135="Krankenstand",J135="Urlaub"),"",IF(J135="","",VLOOKUP(D135,Dienste!C:W,21,)))</f>
        <v/>
      </c>
      <c r="T135" s="18" t="str">
        <f>IF(OR(J135="Krankenstand",J135="Urlaub"),"",IF(J135="","",VLOOKUP(D135,Dienste!C:W,5,)))</f>
        <v/>
      </c>
      <c r="U135" s="18" t="str">
        <f>IF(OR(J135="Krankenstand",J135="Urlaub"),"",IF(J135="","",VLOOKUP(D135,Dienste!C:W,6,)))</f>
        <v/>
      </c>
      <c r="V135" s="18" t="str">
        <f>IF(OR(J135="Krankenstand",J135="Urlaub"),"",IF(J135="","",VLOOKUP(D135,Dienste!C:W,7,)))</f>
        <v/>
      </c>
      <c r="W135" s="18" t="str">
        <f>IF(OR(J135="Krankenstand",J135="Urlaub"),"",IF(J135="","",VLOOKUP(D135,Dienste!C:W,11,)))</f>
        <v/>
      </c>
      <c r="X135" s="18" t="str">
        <f>IF(OR(J135="Krankenstand",J135="Urlaub"),"",IF(J135="","",VLOOKUP(D135,Dienste!C:W,12,)))</f>
        <v/>
      </c>
      <c r="Y135" s="19" t="str">
        <f>IF(OR(J135="Krankenstand",J135="Urlaub"),"",IF(J135="","",VLOOKUP(D135,Dienste!C:W,14,)))</f>
        <v/>
      </c>
      <c r="Z135" s="20" t="str">
        <f>IF(OR(J135="Krankenstand",J135="Urlaub"),"",IF(J135="","",VLOOKUP(D135,Dienste!C:W,15,)))</f>
        <v/>
      </c>
      <c r="AA135" s="124" t="str">
        <f t="shared" si="59"/>
        <v/>
      </c>
      <c r="AB135" s="19" t="str">
        <f t="shared" si="60"/>
        <v/>
      </c>
      <c r="AC135" s="126" t="str">
        <f>_xlfn.CONCAT(_xlfn.CONCAT(IF(I135="","",_xlfn.CONCAT("FT: ",I135,IF(J135="","","; "))),IF(B135&lt;Datenblatt!$B$9,"",IF(B135="","",IF(NOT(J135=""),SUBSTITUTE(SUBSTITUTE(SUBSTITUTE(J135," mR","")," oR","")," O",""),"")))),IF(AF135="","",_xlfn.CONCAT(CHAR(10),"; ",AF135)))</f>
        <v/>
      </c>
      <c r="AD135" s="124" t="str">
        <f t="shared" si="69"/>
        <v/>
      </c>
      <c r="AE135" s="19">
        <f t="shared" si="61"/>
        <v>0</v>
      </c>
      <c r="AF135" s="156"/>
    </row>
    <row r="136" spans="2:32" s="9" customFormat="1" ht="13">
      <c r="B136" s="6">
        <f t="shared" si="62"/>
        <v>44667</v>
      </c>
      <c r="C136" s="45">
        <f>SMALL(Daten!W:W,COUNTIF(Daten!W:W,"&lt;"&amp;Stundenaufzeichnung!B136+1))</f>
        <v>44578</v>
      </c>
      <c r="D136" s="45" t="str">
        <f t="shared" si="57"/>
        <v/>
      </c>
      <c r="E136" s="8">
        <f t="shared" si="58"/>
        <v>1</v>
      </c>
      <c r="F136" s="8">
        <f t="shared" si="63"/>
        <v>6</v>
      </c>
      <c r="G136" s="8">
        <f>IF(B136="","",VLOOKUP(E136,Datenblatt!$L$2:$N$8,3,FALSE))</f>
        <v>0</v>
      </c>
      <c r="H136" s="8" t="str">
        <f t="shared" si="64"/>
        <v/>
      </c>
      <c r="I136" s="11" t="str">
        <f>IFERROR(VLOOKUP(B136,Datenblatt!$E:$F,2,FALSE),"")</f>
        <v/>
      </c>
      <c r="J136" s="113"/>
      <c r="K136" s="19">
        <f>IF(B136&lt;Datenblatt!$B$9,"",IF(B136="","",IF(G136=0,Datenblatt!$B$7,"")))</f>
        <v>6.67</v>
      </c>
      <c r="L136" s="19" t="str">
        <f t="shared" si="65"/>
        <v/>
      </c>
      <c r="M136" s="124" t="str">
        <f t="shared" si="66"/>
        <v/>
      </c>
      <c r="N136" s="124" t="str">
        <f>IF(AND(L136=Datenblatt!$B$7,NOT(L135=Datenblatt!$B$7),NOT(L137=Datenblatt!$B$7)),"y",IF(AND(L136=Datenblatt!$B$7,L137=Datenblatt!$B$7,NOT(L135=Datenblatt!$B$7)),"a",IF(AND(L136=Datenblatt!$B$7,L135=Datenblatt!$B$7,NOT(L137=Datenblatt!$B$7)),"b","")))</f>
        <v/>
      </c>
      <c r="O136" s="19" t="str">
        <f t="shared" si="67"/>
        <v/>
      </c>
      <c r="P136" s="124" t="str">
        <f>IF(AND(M136=Datenblatt!$B$7,NOT(M135=Datenblatt!$B$7),NOT(M137=Datenblatt!$B$7)),"y",IF(AND(M136=Datenblatt!$B$7,M137=Datenblatt!$B$7,NOT(M135=Datenblatt!$B$7)),"a",IF(AND(M136=Datenblatt!$B$7,M135=Datenblatt!$B$7,NOT(M137=Datenblatt!$B$7)),"b","")))</f>
        <v/>
      </c>
      <c r="Q136" s="19" t="str">
        <f t="shared" si="68"/>
        <v/>
      </c>
      <c r="R136" s="124" t="str">
        <f>IF(I136="","",IF(AND(OR(J136="Krankenstand",J136="Urlaub",J136=""), AND(G136=0,NOT(I136=""))),Datenblatt!$B$7,""))</f>
        <v/>
      </c>
      <c r="S136" s="19" t="str">
        <f>IF(OR(J136="Krankenstand",J136="Urlaub"),"",IF(J136="","",VLOOKUP(D136,Dienste!C:W,21,)))</f>
        <v/>
      </c>
      <c r="T136" s="18" t="str">
        <f>IF(OR(J136="Krankenstand",J136="Urlaub"),"",IF(J136="","",VLOOKUP(D136,Dienste!C:W,5,)))</f>
        <v/>
      </c>
      <c r="U136" s="18" t="str">
        <f>IF(OR(J136="Krankenstand",J136="Urlaub"),"",IF(J136="","",VLOOKUP(D136,Dienste!C:W,6,)))</f>
        <v/>
      </c>
      <c r="V136" s="18" t="str">
        <f>IF(OR(J136="Krankenstand",J136="Urlaub"),"",IF(J136="","",VLOOKUP(D136,Dienste!C:W,7,)))</f>
        <v/>
      </c>
      <c r="W136" s="18" t="str">
        <f>IF(OR(J136="Krankenstand",J136="Urlaub"),"",IF(J136="","",VLOOKUP(D136,Dienste!C:W,11,)))</f>
        <v/>
      </c>
      <c r="X136" s="18" t="str">
        <f>IF(OR(J136="Krankenstand",J136="Urlaub"),"",IF(J136="","",VLOOKUP(D136,Dienste!C:W,12,)))</f>
        <v/>
      </c>
      <c r="Y136" s="19" t="str">
        <f>IF(OR(J136="Krankenstand",J136="Urlaub"),"",IF(J136="","",VLOOKUP(D136,Dienste!C:W,14,)))</f>
        <v/>
      </c>
      <c r="Z136" s="20" t="str">
        <f>IF(OR(J136="Krankenstand",J136="Urlaub"),"",IF(J136="","",VLOOKUP(D136,Dienste!C:W,15,)))</f>
        <v/>
      </c>
      <c r="AA136" s="124" t="str">
        <f t="shared" si="59"/>
        <v/>
      </c>
      <c r="AB136" s="19" t="str">
        <f t="shared" si="60"/>
        <v/>
      </c>
      <c r="AC136" s="126" t="str">
        <f>_xlfn.CONCAT(_xlfn.CONCAT(IF(I136="","",_xlfn.CONCAT("FT: ",I136,IF(J136="","","; "))),IF(B136&lt;Datenblatt!$B$9,"",IF(B136="","",IF(NOT(J136=""),SUBSTITUTE(SUBSTITUTE(SUBSTITUTE(J136," mR","")," oR","")," O",""),"")))),IF(AF136="","",_xlfn.CONCAT(CHAR(10),"; ",AF136)))</f>
        <v/>
      </c>
      <c r="AD136" s="124" t="str">
        <f t="shared" si="69"/>
        <v/>
      </c>
      <c r="AE136" s="19">
        <f t="shared" si="61"/>
        <v>0</v>
      </c>
      <c r="AF136" s="156"/>
    </row>
    <row r="137" spans="2:32" s="9" customFormat="1" ht="13">
      <c r="B137" s="6">
        <f t="shared" si="62"/>
        <v>44668</v>
      </c>
      <c r="C137" s="45">
        <f>SMALL(Daten!W:W,COUNTIF(Daten!W:W,"&lt;"&amp;Stundenaufzeichnung!B137+1))</f>
        <v>44578</v>
      </c>
      <c r="D137" s="45" t="str">
        <f t="shared" si="57"/>
        <v/>
      </c>
      <c r="E137" s="8">
        <f t="shared" si="58"/>
        <v>2</v>
      </c>
      <c r="F137" s="8">
        <f t="shared" si="63"/>
        <v>7</v>
      </c>
      <c r="G137" s="8">
        <f>IF(B137="","",VLOOKUP(E137,Datenblatt!$L$2:$N$8,3,FALSE))</f>
        <v>1</v>
      </c>
      <c r="H137" s="8" t="str">
        <f t="shared" si="64"/>
        <v>x</v>
      </c>
      <c r="I137" s="11" t="str">
        <f>IFERROR(VLOOKUP(B137,Datenblatt!$E:$F,2,FALSE),"")</f>
        <v>Ostersonntag</v>
      </c>
      <c r="J137" s="113"/>
      <c r="K137" s="19" t="str">
        <f>IF(B137&lt;Datenblatt!$B$9,"",IF(B137="","",IF(G137=0,Datenblatt!$B$7,"")))</f>
        <v/>
      </c>
      <c r="L137" s="19" t="str">
        <f t="shared" si="65"/>
        <v/>
      </c>
      <c r="M137" s="124" t="str">
        <f t="shared" si="66"/>
        <v/>
      </c>
      <c r="N137" s="124" t="str">
        <f>IF(AND(L137=Datenblatt!$B$7,NOT(L136=Datenblatt!$B$7),NOT(L138=Datenblatt!$B$7)),"y",IF(AND(L137=Datenblatt!$B$7,L138=Datenblatt!$B$7,NOT(L136=Datenblatt!$B$7)),"a",IF(AND(L137=Datenblatt!$B$7,L136=Datenblatt!$B$7,NOT(L138=Datenblatt!$B$7)),"b","")))</f>
        <v/>
      </c>
      <c r="O137" s="19" t="str">
        <f t="shared" si="67"/>
        <v/>
      </c>
      <c r="P137" s="124" t="str">
        <f>IF(AND(M137=Datenblatt!$B$7,NOT(M136=Datenblatt!$B$7),NOT(M138=Datenblatt!$B$7)),"y",IF(AND(M137=Datenblatt!$B$7,M138=Datenblatt!$B$7,NOT(M136=Datenblatt!$B$7)),"a",IF(AND(M137=Datenblatt!$B$7,M136=Datenblatt!$B$7,NOT(M138=Datenblatt!$B$7)),"b","")))</f>
        <v/>
      </c>
      <c r="Q137" s="19" t="str">
        <f t="shared" si="68"/>
        <v/>
      </c>
      <c r="R137" s="124" t="str">
        <f>IF(I137="","",IF(AND(OR(J137="Krankenstand",J137="Urlaub",J137=""), AND(G137=0,NOT(I137=""))),Datenblatt!$B$7,""))</f>
        <v/>
      </c>
      <c r="S137" s="19" t="str">
        <f>IF(OR(J137="Krankenstand",J137="Urlaub"),"",IF(J137="","",VLOOKUP(D137,Dienste!C:W,21,)))</f>
        <v/>
      </c>
      <c r="T137" s="18" t="str">
        <f>IF(OR(J137="Krankenstand",J137="Urlaub"),"",IF(J137="","",VLOOKUP(D137,Dienste!C:W,5,)))</f>
        <v/>
      </c>
      <c r="U137" s="18" t="str">
        <f>IF(OR(J137="Krankenstand",J137="Urlaub"),"",IF(J137="","",VLOOKUP(D137,Dienste!C:W,6,)))</f>
        <v/>
      </c>
      <c r="V137" s="18" t="str">
        <f>IF(OR(J137="Krankenstand",J137="Urlaub"),"",IF(J137="","",VLOOKUP(D137,Dienste!C:W,7,)))</f>
        <v/>
      </c>
      <c r="W137" s="18" t="str">
        <f>IF(OR(J137="Krankenstand",J137="Urlaub"),"",IF(J137="","",VLOOKUP(D137,Dienste!C:W,11,)))</f>
        <v/>
      </c>
      <c r="X137" s="18" t="str">
        <f>IF(OR(J137="Krankenstand",J137="Urlaub"),"",IF(J137="","",VLOOKUP(D137,Dienste!C:W,12,)))</f>
        <v/>
      </c>
      <c r="Y137" s="19" t="str">
        <f>IF(OR(J137="Krankenstand",J137="Urlaub"),"",IF(J137="","",VLOOKUP(D137,Dienste!C:W,14,)))</f>
        <v/>
      </c>
      <c r="Z137" s="20" t="str">
        <f>IF(OR(J137="Krankenstand",J137="Urlaub"),"",IF(J137="","",VLOOKUP(D137,Dienste!C:W,15,)))</f>
        <v/>
      </c>
      <c r="AA137" s="124" t="str">
        <f t="shared" si="59"/>
        <v/>
      </c>
      <c r="AB137" s="19" t="str">
        <f t="shared" si="60"/>
        <v/>
      </c>
      <c r="AC137" s="126" t="str">
        <f>_xlfn.CONCAT(_xlfn.CONCAT(IF(I137="","",_xlfn.CONCAT("FT: ",I137,IF(J137="","","; "))),IF(B137&lt;Datenblatt!$B$9,"",IF(B137="","",IF(NOT(J137=""),SUBSTITUTE(SUBSTITUTE(SUBSTITUTE(J137," mR","")," oR","")," O",""),"")))),IF(AF137="","",_xlfn.CONCAT(CHAR(10),"; ",AF137)))</f>
        <v>FT: Ostersonntag</v>
      </c>
      <c r="AD137" s="124" t="str">
        <f t="shared" si="69"/>
        <v/>
      </c>
      <c r="AE137" s="19">
        <f t="shared" si="61"/>
        <v>0</v>
      </c>
      <c r="AF137" s="156"/>
    </row>
    <row r="138" spans="2:32" s="9" customFormat="1" ht="13">
      <c r="B138" s="6">
        <f t="shared" si="62"/>
        <v>44669</v>
      </c>
      <c r="C138" s="45">
        <f>SMALL(Daten!W:W,COUNTIF(Daten!W:W,"&lt;"&amp;Stundenaufzeichnung!B138+1))</f>
        <v>44578</v>
      </c>
      <c r="D138" s="45" t="str">
        <f t="shared" si="57"/>
        <v/>
      </c>
      <c r="E138" s="8">
        <f t="shared" si="58"/>
        <v>3</v>
      </c>
      <c r="F138" s="8">
        <f t="shared" si="63"/>
        <v>1</v>
      </c>
      <c r="G138" s="8">
        <f>IF(B138="","",VLOOKUP(E138,Datenblatt!$L$2:$N$8,3,FALSE))</f>
        <v>0</v>
      </c>
      <c r="H138" s="8" t="str">
        <f t="shared" si="64"/>
        <v>x</v>
      </c>
      <c r="I138" s="11" t="str">
        <f>IFERROR(VLOOKUP(B138,Datenblatt!$E:$F,2,FALSE),"")</f>
        <v>Ostermontag</v>
      </c>
      <c r="J138" s="113"/>
      <c r="K138" s="19">
        <f>IF(B138&lt;Datenblatt!$B$9,"",IF(B138="","",IF(G138=0,Datenblatt!$B$7,"")))</f>
        <v>6.67</v>
      </c>
      <c r="L138" s="19" t="str">
        <f t="shared" si="65"/>
        <v/>
      </c>
      <c r="M138" s="124" t="str">
        <f t="shared" si="66"/>
        <v/>
      </c>
      <c r="N138" s="124" t="str">
        <f>IF(AND(L138=Datenblatt!$B$7,NOT(L137=Datenblatt!$B$7),NOT(L139=Datenblatt!$B$7)),"y",IF(AND(L138=Datenblatt!$B$7,L139=Datenblatt!$B$7,NOT(L137=Datenblatt!$B$7)),"a",IF(AND(L138=Datenblatt!$B$7,L137=Datenblatt!$B$7,NOT(L139=Datenblatt!$B$7)),"b","")))</f>
        <v/>
      </c>
      <c r="O138" s="19" t="str">
        <f t="shared" si="67"/>
        <v/>
      </c>
      <c r="P138" s="124" t="str">
        <f>IF(AND(M138=Datenblatt!$B$7,NOT(M137=Datenblatt!$B$7),NOT(M139=Datenblatt!$B$7)),"y",IF(AND(M138=Datenblatt!$B$7,M139=Datenblatt!$B$7,NOT(M137=Datenblatt!$B$7)),"a",IF(AND(M138=Datenblatt!$B$7,M137=Datenblatt!$B$7,NOT(M139=Datenblatt!$B$7)),"b","")))</f>
        <v/>
      </c>
      <c r="Q138" s="19" t="str">
        <f t="shared" si="68"/>
        <v/>
      </c>
      <c r="R138" s="124">
        <f>IF(I138="","",IF(AND(OR(J138="Krankenstand",J138="Urlaub",J138=""), AND(G138=0,NOT(I138=""))),Datenblatt!$B$7,""))</f>
        <v>6.67</v>
      </c>
      <c r="S138" s="19" t="str">
        <f>IF(OR(J138="Krankenstand",J138="Urlaub"),"",IF(J138="","",VLOOKUP(D138,Dienste!C:W,21,)))</f>
        <v/>
      </c>
      <c r="T138" s="18" t="str">
        <f>IF(OR(J138="Krankenstand",J138="Urlaub"),"",IF(J138="","",VLOOKUP(D138,Dienste!C:W,5,)))</f>
        <v/>
      </c>
      <c r="U138" s="18" t="str">
        <f>IF(OR(J138="Krankenstand",J138="Urlaub"),"",IF(J138="","",VLOOKUP(D138,Dienste!C:W,6,)))</f>
        <v/>
      </c>
      <c r="V138" s="18" t="str">
        <f>IF(OR(J138="Krankenstand",J138="Urlaub"),"",IF(J138="","",VLOOKUP(D138,Dienste!C:W,7,)))</f>
        <v/>
      </c>
      <c r="W138" s="18" t="str">
        <f>IF(OR(J138="Krankenstand",J138="Urlaub"),"",IF(J138="","",VLOOKUP(D138,Dienste!C:W,11,)))</f>
        <v/>
      </c>
      <c r="X138" s="18" t="str">
        <f>IF(OR(J138="Krankenstand",J138="Urlaub"),"",IF(J138="","",VLOOKUP(D138,Dienste!C:W,12,)))</f>
        <v/>
      </c>
      <c r="Y138" s="19" t="str">
        <f>IF(OR(J138="Krankenstand",J138="Urlaub"),"",IF(J138="","",VLOOKUP(D138,Dienste!C:W,14,)))</f>
        <v/>
      </c>
      <c r="Z138" s="20" t="str">
        <f>IF(OR(J138="Krankenstand",J138="Urlaub"),"",IF(J138="","",VLOOKUP(D138,Dienste!C:W,15,)))</f>
        <v/>
      </c>
      <c r="AA138" s="124" t="str">
        <f t="shared" si="59"/>
        <v/>
      </c>
      <c r="AB138" s="19" t="str">
        <f t="shared" si="60"/>
        <v/>
      </c>
      <c r="AC138" s="126" t="str">
        <f>_xlfn.CONCAT(_xlfn.CONCAT(IF(I138="","",_xlfn.CONCAT("FT: ",I138,IF(J138="","","; "))),IF(B138&lt;Datenblatt!$B$9,"",IF(B138="","",IF(NOT(J138=""),SUBSTITUTE(SUBSTITUTE(SUBSTITUTE(J138," mR","")," oR","")," O",""),"")))),IF(AF138="","",_xlfn.CONCAT(CHAR(10),"; ",AF138)))</f>
        <v>FT: Ostermontag</v>
      </c>
      <c r="AD138" s="124">
        <f t="shared" si="69"/>
        <v>6.67</v>
      </c>
      <c r="AE138" s="19">
        <f t="shared" si="61"/>
        <v>0</v>
      </c>
      <c r="AF138" s="156"/>
    </row>
    <row r="139" spans="2:32" s="9" customFormat="1" ht="13">
      <c r="B139" s="6">
        <f t="shared" si="62"/>
        <v>44670</v>
      </c>
      <c r="C139" s="45">
        <f>SMALL(Daten!W:W,COUNTIF(Daten!W:W,"&lt;"&amp;Stundenaufzeichnung!B139+1))</f>
        <v>44578</v>
      </c>
      <c r="D139" s="45" t="str">
        <f t="shared" si="57"/>
        <v/>
      </c>
      <c r="E139" s="8">
        <f t="shared" si="58"/>
        <v>4</v>
      </c>
      <c r="F139" s="8">
        <f t="shared" si="63"/>
        <v>2</v>
      </c>
      <c r="G139" s="8">
        <f>IF(B139="","",VLOOKUP(E139,Datenblatt!$L$2:$N$8,3,FALSE))</f>
        <v>0</v>
      </c>
      <c r="H139" s="8" t="str">
        <f t="shared" si="64"/>
        <v/>
      </c>
      <c r="I139" s="11" t="str">
        <f>IFERROR(VLOOKUP(B139,Datenblatt!$E:$F,2,FALSE),"")</f>
        <v/>
      </c>
      <c r="J139" s="113"/>
      <c r="K139" s="19">
        <f>IF(B139&lt;Datenblatt!$B$9,"",IF(B139="","",IF(G139=0,Datenblatt!$B$7,"")))</f>
        <v>6.67</v>
      </c>
      <c r="L139" s="19" t="str">
        <f t="shared" si="65"/>
        <v/>
      </c>
      <c r="M139" s="124" t="str">
        <f t="shared" si="66"/>
        <v/>
      </c>
      <c r="N139" s="124" t="str">
        <f>IF(AND(L139=Datenblatt!$B$7,NOT(L138=Datenblatt!$B$7),NOT(L140=Datenblatt!$B$7)),"y",IF(AND(L139=Datenblatt!$B$7,L140=Datenblatt!$B$7,NOT(L138=Datenblatt!$B$7)),"a",IF(AND(L139=Datenblatt!$B$7,L138=Datenblatt!$B$7,NOT(L140=Datenblatt!$B$7)),"b","")))</f>
        <v/>
      </c>
      <c r="O139" s="19" t="str">
        <f t="shared" si="67"/>
        <v/>
      </c>
      <c r="P139" s="124" t="str">
        <f>IF(AND(M139=Datenblatt!$B$7,NOT(M138=Datenblatt!$B$7),NOT(M140=Datenblatt!$B$7)),"y",IF(AND(M139=Datenblatt!$B$7,M140=Datenblatt!$B$7,NOT(M138=Datenblatt!$B$7)),"a",IF(AND(M139=Datenblatt!$B$7,M138=Datenblatt!$B$7,NOT(M140=Datenblatt!$B$7)),"b","")))</f>
        <v/>
      </c>
      <c r="Q139" s="19" t="str">
        <f t="shared" si="68"/>
        <v/>
      </c>
      <c r="R139" s="124" t="str">
        <f>IF(I139="","",IF(AND(OR(J139="Krankenstand",J139="Urlaub",J139=""), AND(G139=0,NOT(I139=""))),Datenblatt!$B$7,""))</f>
        <v/>
      </c>
      <c r="S139" s="19" t="str">
        <f>IF(OR(J139="Krankenstand",J139="Urlaub"),"",IF(J139="","",VLOOKUP(D139,Dienste!C:W,21,)))</f>
        <v/>
      </c>
      <c r="T139" s="18" t="str">
        <f>IF(OR(J139="Krankenstand",J139="Urlaub"),"",IF(J139="","",VLOOKUP(D139,Dienste!C:W,5,)))</f>
        <v/>
      </c>
      <c r="U139" s="18" t="str">
        <f>IF(OR(J139="Krankenstand",J139="Urlaub"),"",IF(J139="","",VLOOKUP(D139,Dienste!C:W,6,)))</f>
        <v/>
      </c>
      <c r="V139" s="18" t="str">
        <f>IF(OR(J139="Krankenstand",J139="Urlaub"),"",IF(J139="","",VLOOKUP(D139,Dienste!C:W,7,)))</f>
        <v/>
      </c>
      <c r="W139" s="18" t="str">
        <f>IF(OR(J139="Krankenstand",J139="Urlaub"),"",IF(J139="","",VLOOKUP(D139,Dienste!C:W,11,)))</f>
        <v/>
      </c>
      <c r="X139" s="18" t="str">
        <f>IF(OR(J139="Krankenstand",J139="Urlaub"),"",IF(J139="","",VLOOKUP(D139,Dienste!C:W,12,)))</f>
        <v/>
      </c>
      <c r="Y139" s="19" t="str">
        <f>IF(OR(J139="Krankenstand",J139="Urlaub"),"",IF(J139="","",VLOOKUP(D139,Dienste!C:W,14,)))</f>
        <v/>
      </c>
      <c r="Z139" s="20" t="str">
        <f>IF(OR(J139="Krankenstand",J139="Urlaub"),"",IF(J139="","",VLOOKUP(D139,Dienste!C:W,15,)))</f>
        <v/>
      </c>
      <c r="AA139" s="124" t="str">
        <f t="shared" si="59"/>
        <v/>
      </c>
      <c r="AB139" s="19" t="str">
        <f t="shared" si="60"/>
        <v/>
      </c>
      <c r="AC139" s="126" t="str">
        <f>_xlfn.CONCAT(_xlfn.CONCAT(IF(I139="","",_xlfn.CONCAT("FT: ",I139,IF(J139="","","; "))),IF(B139&lt;Datenblatt!$B$9,"",IF(B139="","",IF(NOT(J139=""),SUBSTITUTE(SUBSTITUTE(SUBSTITUTE(J139," mR","")," oR","")," O",""),"")))),IF(AF139="","",_xlfn.CONCAT(CHAR(10),"; ",AF139)))</f>
        <v/>
      </c>
      <c r="AD139" s="124" t="str">
        <f t="shared" si="69"/>
        <v/>
      </c>
      <c r="AE139" s="19">
        <f t="shared" si="61"/>
        <v>0</v>
      </c>
      <c r="AF139" s="156"/>
    </row>
    <row r="140" spans="2:32" s="9" customFormat="1" ht="13">
      <c r="B140" s="6">
        <f t="shared" si="62"/>
        <v>44671</v>
      </c>
      <c r="C140" s="45">
        <f>SMALL(Daten!W:W,COUNTIF(Daten!W:W,"&lt;"&amp;Stundenaufzeichnung!B140+1))</f>
        <v>44578</v>
      </c>
      <c r="D140" s="45" t="str">
        <f t="shared" si="57"/>
        <v/>
      </c>
      <c r="E140" s="8">
        <f t="shared" si="58"/>
        <v>5</v>
      </c>
      <c r="F140" s="8">
        <f t="shared" si="63"/>
        <v>3</v>
      </c>
      <c r="G140" s="8">
        <f>IF(B140="","",VLOOKUP(E140,Datenblatt!$L$2:$N$8,3,FALSE))</f>
        <v>0</v>
      </c>
      <c r="H140" s="8" t="str">
        <f t="shared" si="64"/>
        <v/>
      </c>
      <c r="I140" s="11" t="str">
        <f>IFERROR(VLOOKUP(B140,Datenblatt!$E:$F,2,FALSE),"")</f>
        <v/>
      </c>
      <c r="J140" s="113"/>
      <c r="K140" s="19">
        <f>IF(B140&lt;Datenblatt!$B$9,"",IF(B140="","",IF(G140=0,Datenblatt!$B$7,"")))</f>
        <v>6.67</v>
      </c>
      <c r="L140" s="19" t="str">
        <f t="shared" si="65"/>
        <v/>
      </c>
      <c r="M140" s="124" t="str">
        <f t="shared" si="66"/>
        <v/>
      </c>
      <c r="N140" s="124" t="str">
        <f>IF(AND(L140=Datenblatt!$B$7,NOT(L139=Datenblatt!$B$7),NOT(L141=Datenblatt!$B$7)),"y",IF(AND(L140=Datenblatt!$B$7,L141=Datenblatt!$B$7,NOT(L139=Datenblatt!$B$7)),"a",IF(AND(L140=Datenblatt!$B$7,L139=Datenblatt!$B$7,NOT(L141=Datenblatt!$B$7)),"b","")))</f>
        <v/>
      </c>
      <c r="O140" s="19" t="str">
        <f t="shared" si="67"/>
        <v/>
      </c>
      <c r="P140" s="124" t="str">
        <f>IF(AND(M140=Datenblatt!$B$7,NOT(M139=Datenblatt!$B$7),NOT(M141=Datenblatt!$B$7)),"y",IF(AND(M140=Datenblatt!$B$7,M141=Datenblatt!$B$7,NOT(M139=Datenblatt!$B$7)),"a",IF(AND(M140=Datenblatt!$B$7,M139=Datenblatt!$B$7,NOT(M141=Datenblatt!$B$7)),"b","")))</f>
        <v/>
      </c>
      <c r="Q140" s="19" t="str">
        <f t="shared" si="68"/>
        <v/>
      </c>
      <c r="R140" s="124" t="str">
        <f>IF(I140="","",IF(AND(OR(J140="Krankenstand",J140="Urlaub",J140=""), AND(G140=0,NOT(I140=""))),Datenblatt!$B$7,""))</f>
        <v/>
      </c>
      <c r="S140" s="19" t="str">
        <f>IF(OR(J140="Krankenstand",J140="Urlaub"),"",IF(J140="","",VLOOKUP(D140,Dienste!C:W,21,)))</f>
        <v/>
      </c>
      <c r="T140" s="18" t="str">
        <f>IF(OR(J140="Krankenstand",J140="Urlaub"),"",IF(J140="","",VLOOKUP(D140,Dienste!C:W,5,)))</f>
        <v/>
      </c>
      <c r="U140" s="18" t="str">
        <f>IF(OR(J140="Krankenstand",J140="Urlaub"),"",IF(J140="","",VLOOKUP(D140,Dienste!C:W,6,)))</f>
        <v/>
      </c>
      <c r="V140" s="18" t="str">
        <f>IF(OR(J140="Krankenstand",J140="Urlaub"),"",IF(J140="","",VLOOKUP(D140,Dienste!C:W,7,)))</f>
        <v/>
      </c>
      <c r="W140" s="18" t="str">
        <f>IF(OR(J140="Krankenstand",J140="Urlaub"),"",IF(J140="","",VLOOKUP(D140,Dienste!C:W,11,)))</f>
        <v/>
      </c>
      <c r="X140" s="18" t="str">
        <f>IF(OR(J140="Krankenstand",J140="Urlaub"),"",IF(J140="","",VLOOKUP(D140,Dienste!C:W,12,)))</f>
        <v/>
      </c>
      <c r="Y140" s="19" t="str">
        <f>IF(OR(J140="Krankenstand",J140="Urlaub"),"",IF(J140="","",VLOOKUP(D140,Dienste!C:W,14,)))</f>
        <v/>
      </c>
      <c r="Z140" s="20" t="str">
        <f>IF(OR(J140="Krankenstand",J140="Urlaub"),"",IF(J140="","",VLOOKUP(D140,Dienste!C:W,15,)))</f>
        <v/>
      </c>
      <c r="AA140" s="124" t="str">
        <f t="shared" si="59"/>
        <v/>
      </c>
      <c r="AB140" s="19" t="str">
        <f t="shared" si="60"/>
        <v/>
      </c>
      <c r="AC140" s="126" t="str">
        <f>_xlfn.CONCAT(_xlfn.CONCAT(IF(I140="","",_xlfn.CONCAT("FT: ",I140,IF(J140="","","; "))),IF(B140&lt;Datenblatt!$B$9,"",IF(B140="","",IF(NOT(J140=""),SUBSTITUTE(SUBSTITUTE(SUBSTITUTE(J140," mR","")," oR","")," O",""),"")))),IF(AF140="","",_xlfn.CONCAT(CHAR(10),"; ",AF140)))</f>
        <v/>
      </c>
      <c r="AD140" s="124" t="str">
        <f t="shared" si="69"/>
        <v/>
      </c>
      <c r="AE140" s="19">
        <f t="shared" si="61"/>
        <v>0</v>
      </c>
      <c r="AF140" s="156"/>
    </row>
    <row r="141" spans="2:32" s="9" customFormat="1" ht="13">
      <c r="B141" s="6">
        <f t="shared" si="62"/>
        <v>44672</v>
      </c>
      <c r="C141" s="45">
        <f>SMALL(Daten!W:W,COUNTIF(Daten!W:W,"&lt;"&amp;Stundenaufzeichnung!B141+1))</f>
        <v>44578</v>
      </c>
      <c r="D141" s="45" t="str">
        <f t="shared" si="57"/>
        <v/>
      </c>
      <c r="E141" s="8">
        <f t="shared" si="58"/>
        <v>6</v>
      </c>
      <c r="F141" s="8">
        <f t="shared" si="63"/>
        <v>4</v>
      </c>
      <c r="G141" s="8">
        <f>IF(B141="","",VLOOKUP(E141,Datenblatt!$L$2:$N$8,3,FALSE))</f>
        <v>0</v>
      </c>
      <c r="H141" s="8" t="str">
        <f t="shared" si="64"/>
        <v/>
      </c>
      <c r="I141" s="11" t="str">
        <f>IFERROR(VLOOKUP(B141,Datenblatt!$E:$F,2,FALSE),"")</f>
        <v/>
      </c>
      <c r="J141" s="113"/>
      <c r="K141" s="19">
        <f>IF(B141&lt;Datenblatt!$B$9,"",IF(B141="","",IF(G141=0,Datenblatt!$B$7,"")))</f>
        <v>6.67</v>
      </c>
      <c r="L141" s="19" t="str">
        <f t="shared" si="65"/>
        <v/>
      </c>
      <c r="M141" s="124" t="str">
        <f t="shared" si="66"/>
        <v/>
      </c>
      <c r="N141" s="124" t="str">
        <f>IF(AND(L141=Datenblatt!$B$7,NOT(L140=Datenblatt!$B$7),NOT(L142=Datenblatt!$B$7)),"y",IF(AND(L141=Datenblatt!$B$7,L142=Datenblatt!$B$7,NOT(L140=Datenblatt!$B$7)),"a",IF(AND(L141=Datenblatt!$B$7,L140=Datenblatt!$B$7,NOT(L142=Datenblatt!$B$7)),"b","")))</f>
        <v/>
      </c>
      <c r="O141" s="19" t="str">
        <f t="shared" si="67"/>
        <v/>
      </c>
      <c r="P141" s="124" t="str">
        <f>IF(AND(M141=Datenblatt!$B$7,NOT(M140=Datenblatt!$B$7),NOT(M142=Datenblatt!$B$7)),"y",IF(AND(M141=Datenblatt!$B$7,M142=Datenblatt!$B$7,NOT(M140=Datenblatt!$B$7)),"a",IF(AND(M141=Datenblatt!$B$7,M140=Datenblatt!$B$7,NOT(M142=Datenblatt!$B$7)),"b","")))</f>
        <v/>
      </c>
      <c r="Q141" s="19" t="str">
        <f t="shared" si="68"/>
        <v/>
      </c>
      <c r="R141" s="124" t="str">
        <f>IF(I141="","",IF(AND(OR(J141="Krankenstand",J141="Urlaub",J141=""), AND(G141=0,NOT(I141=""))),Datenblatt!$B$7,""))</f>
        <v/>
      </c>
      <c r="S141" s="19" t="str">
        <f>IF(OR(J141="Krankenstand",J141="Urlaub"),"",IF(J141="","",VLOOKUP(D141,Dienste!C:W,21,)))</f>
        <v/>
      </c>
      <c r="T141" s="18" t="str">
        <f>IF(OR(J141="Krankenstand",J141="Urlaub"),"",IF(J141="","",VLOOKUP(D141,Dienste!C:W,5,)))</f>
        <v/>
      </c>
      <c r="U141" s="18" t="str">
        <f>IF(OR(J141="Krankenstand",J141="Urlaub"),"",IF(J141="","",VLOOKUP(D141,Dienste!C:W,6,)))</f>
        <v/>
      </c>
      <c r="V141" s="18" t="str">
        <f>IF(OR(J141="Krankenstand",J141="Urlaub"),"",IF(J141="","",VLOOKUP(D141,Dienste!C:W,7,)))</f>
        <v/>
      </c>
      <c r="W141" s="18" t="str">
        <f>IF(OR(J141="Krankenstand",J141="Urlaub"),"",IF(J141="","",VLOOKUP(D141,Dienste!C:W,11,)))</f>
        <v/>
      </c>
      <c r="X141" s="18" t="str">
        <f>IF(OR(J141="Krankenstand",J141="Urlaub"),"",IF(J141="","",VLOOKUP(D141,Dienste!C:W,12,)))</f>
        <v/>
      </c>
      <c r="Y141" s="19" t="str">
        <f>IF(OR(J141="Krankenstand",J141="Urlaub"),"",IF(J141="","",VLOOKUP(D141,Dienste!C:W,14,)))</f>
        <v/>
      </c>
      <c r="Z141" s="20" t="str">
        <f>IF(OR(J141="Krankenstand",J141="Urlaub"),"",IF(J141="","",VLOOKUP(D141,Dienste!C:W,15,)))</f>
        <v/>
      </c>
      <c r="AA141" s="124" t="str">
        <f t="shared" si="59"/>
        <v/>
      </c>
      <c r="AB141" s="19" t="str">
        <f t="shared" si="60"/>
        <v/>
      </c>
      <c r="AC141" s="126" t="str">
        <f>_xlfn.CONCAT(_xlfn.CONCAT(IF(I141="","",_xlfn.CONCAT("FT: ",I141,IF(J141="","","; "))),IF(B141&lt;Datenblatt!$B$9,"",IF(B141="","",IF(NOT(J141=""),SUBSTITUTE(SUBSTITUTE(SUBSTITUTE(J141," mR","")," oR","")," O",""),"")))),IF(AF141="","",_xlfn.CONCAT(CHAR(10),"; ",AF141)))</f>
        <v/>
      </c>
      <c r="AD141" s="124" t="str">
        <f t="shared" si="69"/>
        <v/>
      </c>
      <c r="AE141" s="19">
        <f t="shared" si="61"/>
        <v>0</v>
      </c>
      <c r="AF141" s="156"/>
    </row>
    <row r="142" spans="2:32" s="9" customFormat="1" ht="13">
      <c r="B142" s="6">
        <f t="shared" si="62"/>
        <v>44673</v>
      </c>
      <c r="C142" s="45">
        <f>SMALL(Daten!W:W,COUNTIF(Daten!W:W,"&lt;"&amp;Stundenaufzeichnung!B142+1))</f>
        <v>44578</v>
      </c>
      <c r="D142" s="45" t="str">
        <f t="shared" si="57"/>
        <v/>
      </c>
      <c r="E142" s="8">
        <f t="shared" si="58"/>
        <v>7</v>
      </c>
      <c r="F142" s="8">
        <f t="shared" si="63"/>
        <v>5</v>
      </c>
      <c r="G142" s="8">
        <f>IF(B142="","",VLOOKUP(E142,Datenblatt!$L$2:$N$8,3,FALSE))</f>
        <v>0</v>
      </c>
      <c r="H142" s="8" t="str">
        <f t="shared" si="64"/>
        <v/>
      </c>
      <c r="I142" s="11" t="str">
        <f>IFERROR(VLOOKUP(B142,Datenblatt!$E:$F,2,FALSE),"")</f>
        <v/>
      </c>
      <c r="J142" s="113"/>
      <c r="K142" s="19">
        <f>IF(B142&lt;Datenblatt!$B$9,"",IF(B142="","",IF(G142=0,Datenblatt!$B$7,"")))</f>
        <v>6.67</v>
      </c>
      <c r="L142" s="19" t="str">
        <f t="shared" si="65"/>
        <v/>
      </c>
      <c r="M142" s="124" t="str">
        <f t="shared" si="66"/>
        <v/>
      </c>
      <c r="N142" s="124" t="str">
        <f>IF(AND(L142=Datenblatt!$B$7,NOT(L141=Datenblatt!$B$7),NOT(L143=Datenblatt!$B$7)),"y",IF(AND(L142=Datenblatt!$B$7,L143=Datenblatt!$B$7,NOT(L141=Datenblatt!$B$7)),"a",IF(AND(L142=Datenblatt!$B$7,L141=Datenblatt!$B$7,NOT(L143=Datenblatt!$B$7)),"b","")))</f>
        <v/>
      </c>
      <c r="O142" s="19" t="str">
        <f t="shared" si="67"/>
        <v/>
      </c>
      <c r="P142" s="124" t="str">
        <f>IF(AND(M142=Datenblatt!$B$7,NOT(M141=Datenblatt!$B$7),NOT(M143=Datenblatt!$B$7)),"y",IF(AND(M142=Datenblatt!$B$7,M143=Datenblatt!$B$7,NOT(M141=Datenblatt!$B$7)),"a",IF(AND(M142=Datenblatt!$B$7,M141=Datenblatt!$B$7,NOT(M143=Datenblatt!$B$7)),"b","")))</f>
        <v/>
      </c>
      <c r="Q142" s="19" t="str">
        <f t="shared" si="68"/>
        <v/>
      </c>
      <c r="R142" s="124" t="str">
        <f>IF(I142="","",IF(AND(OR(J142="Krankenstand",J142="Urlaub",J142=""), AND(G142=0,NOT(I142=""))),Datenblatt!$B$7,""))</f>
        <v/>
      </c>
      <c r="S142" s="19" t="str">
        <f>IF(OR(J142="Krankenstand",J142="Urlaub"),"",IF(J142="","",VLOOKUP(D142,Dienste!C:W,21,)))</f>
        <v/>
      </c>
      <c r="T142" s="18" t="str">
        <f>IF(OR(J142="Krankenstand",J142="Urlaub"),"",IF(J142="","",VLOOKUP(D142,Dienste!C:W,5,)))</f>
        <v/>
      </c>
      <c r="U142" s="18" t="str">
        <f>IF(OR(J142="Krankenstand",J142="Urlaub"),"",IF(J142="","",VLOOKUP(D142,Dienste!C:W,6,)))</f>
        <v/>
      </c>
      <c r="V142" s="18" t="str">
        <f>IF(OR(J142="Krankenstand",J142="Urlaub"),"",IF(J142="","",VLOOKUP(D142,Dienste!C:W,7,)))</f>
        <v/>
      </c>
      <c r="W142" s="18" t="str">
        <f>IF(OR(J142="Krankenstand",J142="Urlaub"),"",IF(J142="","",VLOOKUP(D142,Dienste!C:W,11,)))</f>
        <v/>
      </c>
      <c r="X142" s="18" t="str">
        <f>IF(OR(J142="Krankenstand",J142="Urlaub"),"",IF(J142="","",VLOOKUP(D142,Dienste!C:W,12,)))</f>
        <v/>
      </c>
      <c r="Y142" s="19" t="str">
        <f>IF(OR(J142="Krankenstand",J142="Urlaub"),"",IF(J142="","",VLOOKUP(D142,Dienste!C:W,14,)))</f>
        <v/>
      </c>
      <c r="Z142" s="20" t="str">
        <f>IF(OR(J142="Krankenstand",J142="Urlaub"),"",IF(J142="","",VLOOKUP(D142,Dienste!C:W,15,)))</f>
        <v/>
      </c>
      <c r="AA142" s="124" t="str">
        <f t="shared" si="59"/>
        <v/>
      </c>
      <c r="AB142" s="19" t="str">
        <f t="shared" si="60"/>
        <v/>
      </c>
      <c r="AC142" s="126" t="str">
        <f>_xlfn.CONCAT(_xlfn.CONCAT(IF(I142="","",_xlfn.CONCAT("FT: ",I142,IF(J142="","","; "))),IF(B142&lt;Datenblatt!$B$9,"",IF(B142="","",IF(NOT(J142=""),SUBSTITUTE(SUBSTITUTE(SUBSTITUTE(J142," mR","")," oR","")," O",""),"")))),IF(AF142="","",_xlfn.CONCAT(CHAR(10),"; ",AF142)))</f>
        <v/>
      </c>
      <c r="AD142" s="124" t="str">
        <f t="shared" si="69"/>
        <v/>
      </c>
      <c r="AE142" s="19">
        <f t="shared" si="61"/>
        <v>0</v>
      </c>
      <c r="AF142" s="156"/>
    </row>
    <row r="143" spans="2:32" s="9" customFormat="1" ht="13">
      <c r="B143" s="6">
        <f t="shared" si="62"/>
        <v>44674</v>
      </c>
      <c r="C143" s="45">
        <f>SMALL(Daten!W:W,COUNTIF(Daten!W:W,"&lt;"&amp;Stundenaufzeichnung!B143+1))</f>
        <v>44578</v>
      </c>
      <c r="D143" s="45" t="str">
        <f t="shared" si="57"/>
        <v/>
      </c>
      <c r="E143" s="8">
        <f t="shared" si="58"/>
        <v>1</v>
      </c>
      <c r="F143" s="8">
        <f t="shared" si="63"/>
        <v>6</v>
      </c>
      <c r="G143" s="8">
        <f>IF(B143="","",VLOOKUP(E143,Datenblatt!$L$2:$N$8,3,FALSE))</f>
        <v>0</v>
      </c>
      <c r="H143" s="8" t="str">
        <f t="shared" si="64"/>
        <v/>
      </c>
      <c r="I143" s="11" t="str">
        <f>IFERROR(VLOOKUP(B143,Datenblatt!$E:$F,2,FALSE),"")</f>
        <v/>
      </c>
      <c r="J143" s="113"/>
      <c r="K143" s="19">
        <f>IF(B143&lt;Datenblatt!$B$9,"",IF(B143="","",IF(G143=0,Datenblatt!$B$7,"")))</f>
        <v>6.67</v>
      </c>
      <c r="L143" s="19" t="str">
        <f t="shared" si="65"/>
        <v/>
      </c>
      <c r="M143" s="124" t="str">
        <f t="shared" si="66"/>
        <v/>
      </c>
      <c r="N143" s="124" t="str">
        <f>IF(AND(L143=Datenblatt!$B$7,NOT(L142=Datenblatt!$B$7),NOT(L144=Datenblatt!$B$7)),"y",IF(AND(L143=Datenblatt!$B$7,L144=Datenblatt!$B$7,NOT(L142=Datenblatt!$B$7)),"a",IF(AND(L143=Datenblatt!$B$7,L142=Datenblatt!$B$7,NOT(L144=Datenblatt!$B$7)),"b","")))</f>
        <v/>
      </c>
      <c r="O143" s="19" t="str">
        <f t="shared" si="67"/>
        <v/>
      </c>
      <c r="P143" s="124" t="str">
        <f>IF(AND(M143=Datenblatt!$B$7,NOT(M142=Datenblatt!$B$7),NOT(M144=Datenblatt!$B$7)),"y",IF(AND(M143=Datenblatt!$B$7,M144=Datenblatt!$B$7,NOT(M142=Datenblatt!$B$7)),"a",IF(AND(M143=Datenblatt!$B$7,M142=Datenblatt!$B$7,NOT(M144=Datenblatt!$B$7)),"b","")))</f>
        <v/>
      </c>
      <c r="Q143" s="19" t="str">
        <f t="shared" si="68"/>
        <v/>
      </c>
      <c r="R143" s="124" t="str">
        <f>IF(I143="","",IF(AND(OR(J143="Krankenstand",J143="Urlaub",J143=""), AND(G143=0,NOT(I143=""))),Datenblatt!$B$7,""))</f>
        <v/>
      </c>
      <c r="S143" s="19" t="str">
        <f>IF(OR(J143="Krankenstand",J143="Urlaub"),"",IF(J143="","",VLOOKUP(D143,Dienste!C:W,21,)))</f>
        <v/>
      </c>
      <c r="T143" s="18" t="str">
        <f>IF(OR(J143="Krankenstand",J143="Urlaub"),"",IF(J143="","",VLOOKUP(D143,Dienste!C:W,5,)))</f>
        <v/>
      </c>
      <c r="U143" s="18" t="str">
        <f>IF(OR(J143="Krankenstand",J143="Urlaub"),"",IF(J143="","",VLOOKUP(D143,Dienste!C:W,6,)))</f>
        <v/>
      </c>
      <c r="V143" s="18" t="str">
        <f>IF(OR(J143="Krankenstand",J143="Urlaub"),"",IF(J143="","",VLOOKUP(D143,Dienste!C:W,7,)))</f>
        <v/>
      </c>
      <c r="W143" s="18" t="str">
        <f>IF(OR(J143="Krankenstand",J143="Urlaub"),"",IF(J143="","",VLOOKUP(D143,Dienste!C:W,11,)))</f>
        <v/>
      </c>
      <c r="X143" s="18" t="str">
        <f>IF(OR(J143="Krankenstand",J143="Urlaub"),"",IF(J143="","",VLOOKUP(D143,Dienste!C:W,12,)))</f>
        <v/>
      </c>
      <c r="Y143" s="19" t="str">
        <f>IF(OR(J143="Krankenstand",J143="Urlaub"),"",IF(J143="","",VLOOKUP(D143,Dienste!C:W,14,)))</f>
        <v/>
      </c>
      <c r="Z143" s="20" t="str">
        <f>IF(OR(J143="Krankenstand",J143="Urlaub"),"",IF(J143="","",VLOOKUP(D143,Dienste!C:W,15,)))</f>
        <v/>
      </c>
      <c r="AA143" s="124" t="str">
        <f t="shared" si="59"/>
        <v/>
      </c>
      <c r="AB143" s="19" t="str">
        <f t="shared" si="60"/>
        <v/>
      </c>
      <c r="AC143" s="126" t="str">
        <f>_xlfn.CONCAT(_xlfn.CONCAT(IF(I143="","",_xlfn.CONCAT("FT: ",I143,IF(J143="","","; "))),IF(B143&lt;Datenblatt!$B$9,"",IF(B143="","",IF(NOT(J143=""),SUBSTITUTE(SUBSTITUTE(SUBSTITUTE(J143," mR","")," oR","")," O",""),"")))),IF(AF143="","",_xlfn.CONCAT(CHAR(10),"; ",AF143)))</f>
        <v/>
      </c>
      <c r="AD143" s="124" t="str">
        <f t="shared" si="69"/>
        <v/>
      </c>
      <c r="AE143" s="19">
        <f t="shared" si="61"/>
        <v>0</v>
      </c>
      <c r="AF143" s="156"/>
    </row>
    <row r="144" spans="2:32" s="9" customFormat="1" ht="13">
      <c r="B144" s="6">
        <f t="shared" si="62"/>
        <v>44675</v>
      </c>
      <c r="C144" s="45">
        <f>SMALL(Daten!W:W,COUNTIF(Daten!W:W,"&lt;"&amp;Stundenaufzeichnung!B144+1))</f>
        <v>44578</v>
      </c>
      <c r="D144" s="45" t="str">
        <f t="shared" si="57"/>
        <v/>
      </c>
      <c r="E144" s="8">
        <f t="shared" si="58"/>
        <v>2</v>
      </c>
      <c r="F144" s="8">
        <f t="shared" si="63"/>
        <v>7</v>
      </c>
      <c r="G144" s="8">
        <f>IF(B144="","",VLOOKUP(E144,Datenblatt!$L$2:$N$8,3,FALSE))</f>
        <v>1</v>
      </c>
      <c r="H144" s="8" t="str">
        <f t="shared" si="64"/>
        <v>x</v>
      </c>
      <c r="I144" s="11" t="str">
        <f>IFERROR(VLOOKUP(B144,Datenblatt!$E:$F,2,FALSE),"")</f>
        <v/>
      </c>
      <c r="J144" s="113"/>
      <c r="K144" s="19" t="str">
        <f>IF(B144&lt;Datenblatt!$B$9,"",IF(B144="","",IF(G144=0,Datenblatt!$B$7,"")))</f>
        <v/>
      </c>
      <c r="L144" s="19" t="str">
        <f t="shared" si="65"/>
        <v/>
      </c>
      <c r="M144" s="124" t="str">
        <f t="shared" si="66"/>
        <v/>
      </c>
      <c r="N144" s="124" t="str">
        <f>IF(AND(L144=Datenblatt!$B$7,NOT(L143=Datenblatt!$B$7),NOT(L145=Datenblatt!$B$7)),"y",IF(AND(L144=Datenblatt!$B$7,L145=Datenblatt!$B$7,NOT(L143=Datenblatt!$B$7)),"a",IF(AND(L144=Datenblatt!$B$7,L143=Datenblatt!$B$7,NOT(L145=Datenblatt!$B$7)),"b","")))</f>
        <v/>
      </c>
      <c r="O144" s="19" t="str">
        <f t="shared" si="67"/>
        <v/>
      </c>
      <c r="P144" s="124" t="str">
        <f>IF(AND(M144=Datenblatt!$B$7,NOT(M143=Datenblatt!$B$7),NOT(M145=Datenblatt!$B$7)),"y",IF(AND(M144=Datenblatt!$B$7,M145=Datenblatt!$B$7,NOT(M143=Datenblatt!$B$7)),"a",IF(AND(M144=Datenblatt!$B$7,M143=Datenblatt!$B$7,NOT(M145=Datenblatt!$B$7)),"b","")))</f>
        <v/>
      </c>
      <c r="Q144" s="19" t="str">
        <f t="shared" si="68"/>
        <v/>
      </c>
      <c r="R144" s="124" t="str">
        <f>IF(I144="","",IF(AND(OR(J144="Krankenstand",J144="Urlaub",J144=""), AND(G144=0,NOT(I144=""))),Datenblatt!$B$7,""))</f>
        <v/>
      </c>
      <c r="S144" s="19" t="str">
        <f>IF(OR(J144="Krankenstand",J144="Urlaub"),"",IF(J144="","",VLOOKUP(D144,Dienste!C:W,21,)))</f>
        <v/>
      </c>
      <c r="T144" s="18" t="str">
        <f>IF(OR(J144="Krankenstand",J144="Urlaub"),"",IF(J144="","",VLOOKUP(D144,Dienste!C:W,5,)))</f>
        <v/>
      </c>
      <c r="U144" s="18" t="str">
        <f>IF(OR(J144="Krankenstand",J144="Urlaub"),"",IF(J144="","",VLOOKUP(D144,Dienste!C:W,6,)))</f>
        <v/>
      </c>
      <c r="V144" s="18" t="str">
        <f>IF(OR(J144="Krankenstand",J144="Urlaub"),"",IF(J144="","",VLOOKUP(D144,Dienste!C:W,7,)))</f>
        <v/>
      </c>
      <c r="W144" s="18" t="str">
        <f>IF(OR(J144="Krankenstand",J144="Urlaub"),"",IF(J144="","",VLOOKUP(D144,Dienste!C:W,11,)))</f>
        <v/>
      </c>
      <c r="X144" s="18" t="str">
        <f>IF(OR(J144="Krankenstand",J144="Urlaub"),"",IF(J144="","",VLOOKUP(D144,Dienste!C:W,12,)))</f>
        <v/>
      </c>
      <c r="Y144" s="19" t="str">
        <f>IF(OR(J144="Krankenstand",J144="Urlaub"),"",IF(J144="","",VLOOKUP(D144,Dienste!C:W,14,)))</f>
        <v/>
      </c>
      <c r="Z144" s="20" t="str">
        <f>IF(OR(J144="Krankenstand",J144="Urlaub"),"",IF(J144="","",VLOOKUP(D144,Dienste!C:W,15,)))</f>
        <v/>
      </c>
      <c r="AA144" s="124" t="str">
        <f t="shared" si="59"/>
        <v/>
      </c>
      <c r="AB144" s="19" t="str">
        <f t="shared" si="60"/>
        <v/>
      </c>
      <c r="AC144" s="126" t="str">
        <f>_xlfn.CONCAT(_xlfn.CONCAT(IF(I144="","",_xlfn.CONCAT("FT: ",I144,IF(J144="","","; "))),IF(B144&lt;Datenblatt!$B$9,"",IF(B144="","",IF(NOT(J144=""),SUBSTITUTE(SUBSTITUTE(SUBSTITUTE(J144," mR","")," oR","")," O",""),"")))),IF(AF144="","",_xlfn.CONCAT(CHAR(10),"; ",AF144)))</f>
        <v/>
      </c>
      <c r="AD144" s="124" t="str">
        <f t="shared" si="69"/>
        <v/>
      </c>
      <c r="AE144" s="19">
        <f t="shared" si="61"/>
        <v>0</v>
      </c>
      <c r="AF144" s="156"/>
    </row>
    <row r="145" spans="1:32" s="9" customFormat="1" ht="13">
      <c r="B145" s="6">
        <f t="shared" si="62"/>
        <v>44676</v>
      </c>
      <c r="C145" s="45">
        <f>SMALL(Daten!W:W,COUNTIF(Daten!W:W,"&lt;"&amp;Stundenaufzeichnung!B145+1))</f>
        <v>44578</v>
      </c>
      <c r="D145" s="45" t="str">
        <f t="shared" si="57"/>
        <v/>
      </c>
      <c r="E145" s="8">
        <f t="shared" si="58"/>
        <v>3</v>
      </c>
      <c r="F145" s="8">
        <f t="shared" si="63"/>
        <v>1</v>
      </c>
      <c r="G145" s="8">
        <f>IF(B145="","",VLOOKUP(E145,Datenblatt!$L$2:$N$8,3,FALSE))</f>
        <v>0</v>
      </c>
      <c r="H145" s="8" t="str">
        <f t="shared" si="64"/>
        <v/>
      </c>
      <c r="I145" s="11" t="str">
        <f>IFERROR(VLOOKUP(B145,Datenblatt!$E:$F,2,FALSE),"")</f>
        <v/>
      </c>
      <c r="J145" s="113"/>
      <c r="K145" s="19">
        <f>IF(B145&lt;Datenblatt!$B$9,"",IF(B145="","",IF(G145=0,Datenblatt!$B$7,"")))</f>
        <v>6.67</v>
      </c>
      <c r="L145" s="19" t="str">
        <f t="shared" si="65"/>
        <v/>
      </c>
      <c r="M145" s="124" t="str">
        <f t="shared" si="66"/>
        <v/>
      </c>
      <c r="N145" s="124" t="str">
        <f>IF(AND(L145=Datenblatt!$B$7,NOT(L144=Datenblatt!$B$7),NOT(L146=Datenblatt!$B$7)),"y",IF(AND(L145=Datenblatt!$B$7,L146=Datenblatt!$B$7,NOT(L144=Datenblatt!$B$7)),"a",IF(AND(L145=Datenblatt!$B$7,L144=Datenblatt!$B$7,NOT(L146=Datenblatt!$B$7)),"b","")))</f>
        <v/>
      </c>
      <c r="O145" s="19" t="str">
        <f t="shared" si="67"/>
        <v/>
      </c>
      <c r="P145" s="124" t="str">
        <f>IF(AND(M145=Datenblatt!$B$7,NOT(M144=Datenblatt!$B$7),NOT(M146=Datenblatt!$B$7)),"y",IF(AND(M145=Datenblatt!$B$7,M146=Datenblatt!$B$7,NOT(M144=Datenblatt!$B$7)),"a",IF(AND(M145=Datenblatt!$B$7,M144=Datenblatt!$B$7,NOT(M146=Datenblatt!$B$7)),"b","")))</f>
        <v/>
      </c>
      <c r="Q145" s="19" t="str">
        <f t="shared" si="68"/>
        <v/>
      </c>
      <c r="R145" s="124" t="str">
        <f>IF(I145="","",IF(AND(OR(J145="Krankenstand",J145="Urlaub",J145=""), AND(G145=0,NOT(I145=""))),Datenblatt!$B$7,""))</f>
        <v/>
      </c>
      <c r="S145" s="19" t="str">
        <f>IF(OR(J145="Krankenstand",J145="Urlaub"),"",IF(J145="","",VLOOKUP(D145,Dienste!C:W,21,)))</f>
        <v/>
      </c>
      <c r="T145" s="18" t="str">
        <f>IF(OR(J145="Krankenstand",J145="Urlaub"),"",IF(J145="","",VLOOKUP(D145,Dienste!C:W,5,)))</f>
        <v/>
      </c>
      <c r="U145" s="18" t="str">
        <f>IF(OR(J145="Krankenstand",J145="Urlaub"),"",IF(J145="","",VLOOKUP(D145,Dienste!C:W,6,)))</f>
        <v/>
      </c>
      <c r="V145" s="18" t="str">
        <f>IF(OR(J145="Krankenstand",J145="Urlaub"),"",IF(J145="","",VLOOKUP(D145,Dienste!C:W,7,)))</f>
        <v/>
      </c>
      <c r="W145" s="18" t="str">
        <f>IF(OR(J145="Krankenstand",J145="Urlaub"),"",IF(J145="","",VLOOKUP(D145,Dienste!C:W,11,)))</f>
        <v/>
      </c>
      <c r="X145" s="18" t="str">
        <f>IF(OR(J145="Krankenstand",J145="Urlaub"),"",IF(J145="","",VLOOKUP(D145,Dienste!C:W,12,)))</f>
        <v/>
      </c>
      <c r="Y145" s="19" t="str">
        <f>IF(OR(J145="Krankenstand",J145="Urlaub"),"",IF(J145="","",VLOOKUP(D145,Dienste!C:W,14,)))</f>
        <v/>
      </c>
      <c r="Z145" s="20" t="str">
        <f>IF(OR(J145="Krankenstand",J145="Urlaub"),"",IF(J145="","",VLOOKUP(D145,Dienste!C:W,15,)))</f>
        <v/>
      </c>
      <c r="AA145" s="124" t="str">
        <f t="shared" si="59"/>
        <v/>
      </c>
      <c r="AB145" s="19" t="str">
        <f t="shared" si="60"/>
        <v/>
      </c>
      <c r="AC145" s="126" t="str">
        <f>_xlfn.CONCAT(_xlfn.CONCAT(IF(I145="","",_xlfn.CONCAT("FT: ",I145,IF(J145="","","; "))),IF(B145&lt;Datenblatt!$B$9,"",IF(B145="","",IF(NOT(J145=""),SUBSTITUTE(SUBSTITUTE(SUBSTITUTE(J145," mR","")," oR","")," O",""),"")))),IF(AF145="","",_xlfn.CONCAT(CHAR(10),"; ",AF145)))</f>
        <v/>
      </c>
      <c r="AD145" s="124" t="str">
        <f t="shared" si="69"/>
        <v/>
      </c>
      <c r="AE145" s="19">
        <f t="shared" si="61"/>
        <v>0</v>
      </c>
      <c r="AF145" s="156"/>
    </row>
    <row r="146" spans="1:32" s="9" customFormat="1" ht="13">
      <c r="B146" s="6">
        <f t="shared" si="62"/>
        <v>44677</v>
      </c>
      <c r="C146" s="45">
        <f>SMALL(Daten!W:W,COUNTIF(Daten!W:W,"&lt;"&amp;Stundenaufzeichnung!B146+1))</f>
        <v>44578</v>
      </c>
      <c r="D146" s="45" t="str">
        <f t="shared" si="57"/>
        <v/>
      </c>
      <c r="E146" s="8">
        <f t="shared" si="58"/>
        <v>4</v>
      </c>
      <c r="F146" s="8">
        <f t="shared" si="63"/>
        <v>2</v>
      </c>
      <c r="G146" s="8">
        <f>IF(B146="","",VLOOKUP(E146,Datenblatt!$L$2:$N$8,3,FALSE))</f>
        <v>0</v>
      </c>
      <c r="H146" s="8" t="str">
        <f t="shared" si="64"/>
        <v/>
      </c>
      <c r="I146" s="11" t="str">
        <f>IFERROR(VLOOKUP(B146,Datenblatt!$E:$F,2,FALSE),"")</f>
        <v/>
      </c>
      <c r="J146" s="113"/>
      <c r="K146" s="19">
        <f>IF(B146&lt;Datenblatt!$B$9,"",IF(B146="","",IF(G146=0,Datenblatt!$B$7,"")))</f>
        <v>6.67</v>
      </c>
      <c r="L146" s="19" t="str">
        <f t="shared" si="65"/>
        <v/>
      </c>
      <c r="M146" s="124" t="str">
        <f t="shared" si="66"/>
        <v/>
      </c>
      <c r="N146" s="124" t="str">
        <f>IF(AND(L146=Datenblatt!$B$7,NOT(L145=Datenblatt!$B$7),NOT(L147=Datenblatt!$B$7)),"y",IF(AND(L146=Datenblatt!$B$7,L147=Datenblatt!$B$7,NOT(L145=Datenblatt!$B$7)),"a",IF(AND(L146=Datenblatt!$B$7,L145=Datenblatt!$B$7,NOT(L147=Datenblatt!$B$7)),"b","")))</f>
        <v/>
      </c>
      <c r="O146" s="19" t="str">
        <f t="shared" si="67"/>
        <v/>
      </c>
      <c r="P146" s="124" t="str">
        <f>IF(AND(M146=Datenblatt!$B$7,NOT(M145=Datenblatt!$B$7),NOT(M147=Datenblatt!$B$7)),"y",IF(AND(M146=Datenblatt!$B$7,M147=Datenblatt!$B$7,NOT(M145=Datenblatt!$B$7)),"a",IF(AND(M146=Datenblatt!$B$7,M145=Datenblatt!$B$7,NOT(M147=Datenblatt!$B$7)),"b","")))</f>
        <v/>
      </c>
      <c r="Q146" s="19" t="str">
        <f t="shared" si="68"/>
        <v/>
      </c>
      <c r="R146" s="124" t="str">
        <f>IF(I146="","",IF(AND(OR(J146="Krankenstand",J146="Urlaub",J146=""), AND(G146=0,NOT(I146=""))),Datenblatt!$B$7,""))</f>
        <v/>
      </c>
      <c r="S146" s="19" t="str">
        <f>IF(OR(J146="Krankenstand",J146="Urlaub"),"",IF(J146="","",VLOOKUP(D146,Dienste!C:W,21,)))</f>
        <v/>
      </c>
      <c r="T146" s="18" t="str">
        <f>IF(OR(J146="Krankenstand",J146="Urlaub"),"",IF(J146="","",VLOOKUP(D146,Dienste!C:W,5,)))</f>
        <v/>
      </c>
      <c r="U146" s="18" t="str">
        <f>IF(OR(J146="Krankenstand",J146="Urlaub"),"",IF(J146="","",VLOOKUP(D146,Dienste!C:W,6,)))</f>
        <v/>
      </c>
      <c r="V146" s="18" t="str">
        <f>IF(OR(J146="Krankenstand",J146="Urlaub"),"",IF(J146="","",VLOOKUP(D146,Dienste!C:W,7,)))</f>
        <v/>
      </c>
      <c r="W146" s="18" t="str">
        <f>IF(OR(J146="Krankenstand",J146="Urlaub"),"",IF(J146="","",VLOOKUP(D146,Dienste!C:W,11,)))</f>
        <v/>
      </c>
      <c r="X146" s="18" t="str">
        <f>IF(OR(J146="Krankenstand",J146="Urlaub"),"",IF(J146="","",VLOOKUP(D146,Dienste!C:W,12,)))</f>
        <v/>
      </c>
      <c r="Y146" s="19" t="str">
        <f>IF(OR(J146="Krankenstand",J146="Urlaub"),"",IF(J146="","",VLOOKUP(D146,Dienste!C:W,14,)))</f>
        <v/>
      </c>
      <c r="Z146" s="20" t="str">
        <f>IF(OR(J146="Krankenstand",J146="Urlaub"),"",IF(J146="","",VLOOKUP(D146,Dienste!C:W,15,)))</f>
        <v/>
      </c>
      <c r="AA146" s="124" t="str">
        <f t="shared" si="59"/>
        <v/>
      </c>
      <c r="AB146" s="19" t="str">
        <f t="shared" si="60"/>
        <v/>
      </c>
      <c r="AC146" s="126" t="str">
        <f>_xlfn.CONCAT(_xlfn.CONCAT(IF(I146="","",_xlfn.CONCAT("FT: ",I146,IF(J146="","","; "))),IF(B146&lt;Datenblatt!$B$9,"",IF(B146="","",IF(NOT(J146=""),SUBSTITUTE(SUBSTITUTE(SUBSTITUTE(J146," mR","")," oR","")," O",""),"")))),IF(AF146="","",_xlfn.CONCAT(CHAR(10),"; ",AF146)))</f>
        <v/>
      </c>
      <c r="AD146" s="124" t="str">
        <f t="shared" si="69"/>
        <v/>
      </c>
      <c r="AE146" s="19">
        <f t="shared" si="61"/>
        <v>0</v>
      </c>
      <c r="AF146" s="156"/>
    </row>
    <row r="147" spans="1:32" s="9" customFormat="1" ht="13">
      <c r="B147" s="6">
        <f t="shared" si="62"/>
        <v>44678</v>
      </c>
      <c r="C147" s="45">
        <f>SMALL(Daten!W:W,COUNTIF(Daten!W:W,"&lt;"&amp;Stundenaufzeichnung!B147+1))</f>
        <v>44578</v>
      </c>
      <c r="D147" s="45" t="str">
        <f t="shared" si="57"/>
        <v/>
      </c>
      <c r="E147" s="8">
        <f t="shared" si="58"/>
        <v>5</v>
      </c>
      <c r="F147" s="8">
        <f t="shared" si="63"/>
        <v>3</v>
      </c>
      <c r="G147" s="8">
        <f>IF(B147="","",VLOOKUP(E147,Datenblatt!$L$2:$N$8,3,FALSE))</f>
        <v>0</v>
      </c>
      <c r="H147" s="8" t="str">
        <f t="shared" si="64"/>
        <v/>
      </c>
      <c r="I147" s="11" t="str">
        <f>IFERROR(VLOOKUP(B147,Datenblatt!$E:$F,2,FALSE),"")</f>
        <v/>
      </c>
      <c r="J147" s="113"/>
      <c r="K147" s="19">
        <f>IF(B147&lt;Datenblatt!$B$9,"",IF(B147="","",IF(G147=0,Datenblatt!$B$7,"")))</f>
        <v>6.67</v>
      </c>
      <c r="L147" s="19" t="str">
        <f t="shared" si="65"/>
        <v/>
      </c>
      <c r="M147" s="124" t="str">
        <f t="shared" si="66"/>
        <v/>
      </c>
      <c r="N147" s="124" t="str">
        <f>IF(AND(L147=Datenblatt!$B$7,NOT(L146=Datenblatt!$B$7),NOT(L148=Datenblatt!$B$7)),"y",IF(AND(L147=Datenblatt!$B$7,L148=Datenblatt!$B$7,NOT(L146=Datenblatt!$B$7)),"a",IF(AND(L147=Datenblatt!$B$7,L146=Datenblatt!$B$7,NOT(L148=Datenblatt!$B$7)),"b","")))</f>
        <v/>
      </c>
      <c r="O147" s="19" t="str">
        <f t="shared" si="67"/>
        <v/>
      </c>
      <c r="P147" s="124" t="str">
        <f>IF(AND(M147=Datenblatt!$B$7,NOT(M146=Datenblatt!$B$7),NOT(M148=Datenblatt!$B$7)),"y",IF(AND(M147=Datenblatt!$B$7,M148=Datenblatt!$B$7,NOT(M146=Datenblatt!$B$7)),"a",IF(AND(M147=Datenblatt!$B$7,M146=Datenblatt!$B$7,NOT(M148=Datenblatt!$B$7)),"b","")))</f>
        <v/>
      </c>
      <c r="Q147" s="19" t="str">
        <f t="shared" si="68"/>
        <v/>
      </c>
      <c r="R147" s="124" t="str">
        <f>IF(I147="","",IF(AND(OR(J147="Krankenstand",J147="Urlaub",J147=""), AND(G147=0,NOT(I147=""))),Datenblatt!$B$7,""))</f>
        <v/>
      </c>
      <c r="S147" s="19" t="str">
        <f>IF(OR(J147="Krankenstand",J147="Urlaub"),"",IF(J147="","",VLOOKUP(D147,Dienste!C:W,21,)))</f>
        <v/>
      </c>
      <c r="T147" s="18" t="str">
        <f>IF(OR(J147="Krankenstand",J147="Urlaub"),"",IF(J147="","",VLOOKUP(D147,Dienste!C:W,5,)))</f>
        <v/>
      </c>
      <c r="U147" s="18" t="str">
        <f>IF(OR(J147="Krankenstand",J147="Urlaub"),"",IF(J147="","",VLOOKUP(D147,Dienste!C:W,6,)))</f>
        <v/>
      </c>
      <c r="V147" s="18" t="str">
        <f>IF(OR(J147="Krankenstand",J147="Urlaub"),"",IF(J147="","",VLOOKUP(D147,Dienste!C:W,7,)))</f>
        <v/>
      </c>
      <c r="W147" s="18" t="str">
        <f>IF(OR(J147="Krankenstand",J147="Urlaub"),"",IF(J147="","",VLOOKUP(D147,Dienste!C:W,11,)))</f>
        <v/>
      </c>
      <c r="X147" s="18" t="str">
        <f>IF(OR(J147="Krankenstand",J147="Urlaub"),"",IF(J147="","",VLOOKUP(D147,Dienste!C:W,12,)))</f>
        <v/>
      </c>
      <c r="Y147" s="19" t="str">
        <f>IF(OR(J147="Krankenstand",J147="Urlaub"),"",IF(J147="","",VLOOKUP(D147,Dienste!C:W,14,)))</f>
        <v/>
      </c>
      <c r="Z147" s="20" t="str">
        <f>IF(OR(J147="Krankenstand",J147="Urlaub"),"",IF(J147="","",VLOOKUP(D147,Dienste!C:W,15,)))</f>
        <v/>
      </c>
      <c r="AA147" s="124" t="str">
        <f t="shared" si="59"/>
        <v/>
      </c>
      <c r="AB147" s="19" t="str">
        <f t="shared" si="60"/>
        <v/>
      </c>
      <c r="AC147" s="126" t="str">
        <f>_xlfn.CONCAT(_xlfn.CONCAT(IF(I147="","",_xlfn.CONCAT("FT: ",I147,IF(J147="","","; "))),IF(B147&lt;Datenblatt!$B$9,"",IF(B147="","",IF(NOT(J147=""),SUBSTITUTE(SUBSTITUTE(SUBSTITUTE(J147," mR","")," oR","")," O",""),"")))),IF(AF147="","",_xlfn.CONCAT(CHAR(10),"; ",AF147)))</f>
        <v/>
      </c>
      <c r="AD147" s="124" t="str">
        <f t="shared" si="69"/>
        <v/>
      </c>
      <c r="AE147" s="19">
        <f t="shared" si="61"/>
        <v>0</v>
      </c>
      <c r="AF147" s="156"/>
    </row>
    <row r="148" spans="1:32" s="9" customFormat="1" ht="13">
      <c r="B148" s="6">
        <f t="shared" si="62"/>
        <v>44679</v>
      </c>
      <c r="C148" s="45">
        <f>SMALL(Daten!W:W,COUNTIF(Daten!W:W,"&lt;"&amp;Stundenaufzeichnung!B148+1))</f>
        <v>44578</v>
      </c>
      <c r="D148" s="45" t="str">
        <f t="shared" si="57"/>
        <v/>
      </c>
      <c r="E148" s="8">
        <f t="shared" si="58"/>
        <v>6</v>
      </c>
      <c r="F148" s="8">
        <f t="shared" si="63"/>
        <v>4</v>
      </c>
      <c r="G148" s="8">
        <f>IF(B148="","",VLOOKUP(E148,Datenblatt!$L$2:$N$8,3,FALSE))</f>
        <v>0</v>
      </c>
      <c r="H148" s="8" t="str">
        <f t="shared" si="64"/>
        <v/>
      </c>
      <c r="I148" s="11" t="str">
        <f>IFERROR(VLOOKUP(B148,Datenblatt!$E:$F,2,FALSE),"")</f>
        <v/>
      </c>
      <c r="J148" s="113"/>
      <c r="K148" s="19">
        <f>IF(B148&lt;Datenblatt!$B$9,"",IF(B148="","",IF(G148=0,Datenblatt!$B$7,"")))</f>
        <v>6.67</v>
      </c>
      <c r="L148" s="19" t="str">
        <f t="shared" si="65"/>
        <v/>
      </c>
      <c r="M148" s="124" t="str">
        <f t="shared" si="66"/>
        <v/>
      </c>
      <c r="N148" s="124" t="str">
        <f>IF(AND(L148=Datenblatt!$B$7,NOT(L147=Datenblatt!$B$7),NOT(L149=Datenblatt!$B$7)),"y",IF(AND(L148=Datenblatt!$B$7,L149=Datenblatt!$B$7,NOT(L147=Datenblatt!$B$7)),"a",IF(AND(L148=Datenblatt!$B$7,L147=Datenblatt!$B$7,NOT(L149=Datenblatt!$B$7)),"b","")))</f>
        <v/>
      </c>
      <c r="O148" s="19" t="str">
        <f t="shared" si="67"/>
        <v/>
      </c>
      <c r="P148" s="124" t="str">
        <f>IF(AND(M148=Datenblatt!$B$7,NOT(M147=Datenblatt!$B$7),NOT(M149=Datenblatt!$B$7)),"y",IF(AND(M148=Datenblatt!$B$7,M149=Datenblatt!$B$7,NOT(M147=Datenblatt!$B$7)),"a",IF(AND(M148=Datenblatt!$B$7,M147=Datenblatt!$B$7,NOT(M149=Datenblatt!$B$7)),"b","")))</f>
        <v/>
      </c>
      <c r="Q148" s="19" t="str">
        <f t="shared" si="68"/>
        <v/>
      </c>
      <c r="R148" s="124" t="str">
        <f>IF(I148="","",IF(AND(OR(J148="Krankenstand",J148="Urlaub",J148=""), AND(G148=0,NOT(I148=""))),Datenblatt!$B$7,""))</f>
        <v/>
      </c>
      <c r="S148" s="19" t="str">
        <f>IF(OR(J148="Krankenstand",J148="Urlaub"),"",IF(J148="","",VLOOKUP(D148,Dienste!C:W,21,)))</f>
        <v/>
      </c>
      <c r="T148" s="18" t="str">
        <f>IF(OR(J148="Krankenstand",J148="Urlaub"),"",IF(J148="","",VLOOKUP(D148,Dienste!C:W,5,)))</f>
        <v/>
      </c>
      <c r="U148" s="18" t="str">
        <f>IF(OR(J148="Krankenstand",J148="Urlaub"),"",IF(J148="","",VLOOKUP(D148,Dienste!C:W,6,)))</f>
        <v/>
      </c>
      <c r="V148" s="18" t="str">
        <f>IF(OR(J148="Krankenstand",J148="Urlaub"),"",IF(J148="","",VLOOKUP(D148,Dienste!C:W,7,)))</f>
        <v/>
      </c>
      <c r="W148" s="18" t="str">
        <f>IF(OR(J148="Krankenstand",J148="Urlaub"),"",IF(J148="","",VLOOKUP(D148,Dienste!C:W,11,)))</f>
        <v/>
      </c>
      <c r="X148" s="18" t="str">
        <f>IF(OR(J148="Krankenstand",J148="Urlaub"),"",IF(J148="","",VLOOKUP(D148,Dienste!C:W,12,)))</f>
        <v/>
      </c>
      <c r="Y148" s="19" t="str">
        <f>IF(OR(J148="Krankenstand",J148="Urlaub"),"",IF(J148="","",VLOOKUP(D148,Dienste!C:W,14,)))</f>
        <v/>
      </c>
      <c r="Z148" s="20" t="str">
        <f>IF(OR(J148="Krankenstand",J148="Urlaub"),"",IF(J148="","",VLOOKUP(D148,Dienste!C:W,15,)))</f>
        <v/>
      </c>
      <c r="AA148" s="124" t="str">
        <f t="shared" si="59"/>
        <v/>
      </c>
      <c r="AB148" s="19" t="str">
        <f t="shared" si="60"/>
        <v/>
      </c>
      <c r="AC148" s="126" t="str">
        <f>_xlfn.CONCAT(_xlfn.CONCAT(IF(I148="","",_xlfn.CONCAT("FT: ",I148,IF(J148="","","; "))),IF(B148&lt;Datenblatt!$B$9,"",IF(B148="","",IF(NOT(J148=""),SUBSTITUTE(SUBSTITUTE(SUBSTITUTE(J148," mR","")," oR","")," O",""),"")))),IF(AF148="","",_xlfn.CONCAT(CHAR(10),"; ",AF148)))</f>
        <v/>
      </c>
      <c r="AD148" s="124" t="str">
        <f t="shared" si="69"/>
        <v/>
      </c>
      <c r="AE148" s="19">
        <f t="shared" si="61"/>
        <v>0</v>
      </c>
      <c r="AF148" s="156"/>
    </row>
    <row r="149" spans="1:32" s="9" customFormat="1" ht="13">
      <c r="B149" s="6">
        <f>IF(B148="","",IF(DAY(B148+1)&lt;29,"",B148+1))</f>
        <v>44680</v>
      </c>
      <c r="C149" s="45">
        <f>SMALL(Daten!W:W,COUNTIF(Daten!W:W,"&lt;"&amp;Stundenaufzeichnung!B149+1))</f>
        <v>44578</v>
      </c>
      <c r="D149" s="45" t="str">
        <f t="shared" si="57"/>
        <v/>
      </c>
      <c r="E149" s="8">
        <f t="shared" si="58"/>
        <v>7</v>
      </c>
      <c r="F149" s="8">
        <f>IF(B149="","",MOD(E149+$F$3,7)+1)</f>
        <v>5</v>
      </c>
      <c r="G149" s="8">
        <f>IF(B149="","",VLOOKUP(E149,Datenblatt!$L$2:$N$8,3,FALSE))</f>
        <v>0</v>
      </c>
      <c r="H149" s="8" t="str">
        <f t="shared" si="64"/>
        <v/>
      </c>
      <c r="I149" s="11" t="str">
        <f>IFERROR(VLOOKUP(B149,Datenblatt!$E:$F,2,FALSE),"")</f>
        <v/>
      </c>
      <c r="J149" s="113"/>
      <c r="K149" s="19">
        <f>IF(B149&lt;Datenblatt!$B$9,"",IF(B149="","",IF(G149=0,Datenblatt!$B$7,"")))</f>
        <v>6.67</v>
      </c>
      <c r="L149" s="19" t="str">
        <f t="shared" si="65"/>
        <v/>
      </c>
      <c r="M149" s="124" t="str">
        <f t="shared" si="66"/>
        <v/>
      </c>
      <c r="N149" s="124" t="str">
        <f>IF(AND(L149=Datenblatt!$B$7,NOT(L148=Datenblatt!$B$7),NOT(L150=Datenblatt!$B$7)),"y",IF(AND(L149=Datenblatt!$B$7,L150=Datenblatt!$B$7,NOT(L148=Datenblatt!$B$7)),"a",IF(AND(L149=Datenblatt!$B$7,L148=Datenblatt!$B$7,NOT(L150=Datenblatt!$B$7)),"b","")))</f>
        <v/>
      </c>
      <c r="O149" s="19" t="str">
        <f t="shared" si="67"/>
        <v/>
      </c>
      <c r="P149" s="124" t="str">
        <f>IF(AND(M149=Datenblatt!$B$7,NOT(M148=Datenblatt!$B$7),NOT(M150=Datenblatt!$B$7)),"y",IF(AND(M149=Datenblatt!$B$7,M150=Datenblatt!$B$7,NOT(M148=Datenblatt!$B$7)),"a",IF(AND(M149=Datenblatt!$B$7,M148=Datenblatt!$B$7,NOT(M150=Datenblatt!$B$7)),"b","")))</f>
        <v/>
      </c>
      <c r="Q149" s="19" t="str">
        <f t="shared" si="68"/>
        <v/>
      </c>
      <c r="R149" s="124" t="str">
        <f>IF(I149="","",IF(AND(OR(J149="Krankenstand",J149="Urlaub",J149=""), AND(G149=0,NOT(I149=""))),Datenblatt!$B$7,""))</f>
        <v/>
      </c>
      <c r="S149" s="19" t="str">
        <f>IF(OR(J149="Krankenstand",J149="Urlaub"),"",IF(J149="","",VLOOKUP(D149,Dienste!C:W,21,)))</f>
        <v/>
      </c>
      <c r="T149" s="18" t="str">
        <f>IF(OR(J149="Krankenstand",J149="Urlaub"),"",IF(J149="","",VLOOKUP(D149,Dienste!C:W,5,)))</f>
        <v/>
      </c>
      <c r="U149" s="18" t="str">
        <f>IF(OR(J149="Krankenstand",J149="Urlaub"),"",IF(J149="","",VLOOKUP(D149,Dienste!C:W,6,)))</f>
        <v/>
      </c>
      <c r="V149" s="18" t="str">
        <f>IF(OR(J149="Krankenstand",J149="Urlaub"),"",IF(J149="","",VLOOKUP(D149,Dienste!C:W,7,)))</f>
        <v/>
      </c>
      <c r="W149" s="18" t="str">
        <f>IF(OR(J149="Krankenstand",J149="Urlaub"),"",IF(J149="","",VLOOKUP(D149,Dienste!C:W,11,)))</f>
        <v/>
      </c>
      <c r="X149" s="18" t="str">
        <f>IF(OR(J149="Krankenstand",J149="Urlaub"),"",IF(J149="","",VLOOKUP(D149,Dienste!C:W,12,)))</f>
        <v/>
      </c>
      <c r="Y149" s="19" t="str">
        <f>IF(OR(J149="Krankenstand",J149="Urlaub"),"",IF(J149="","",VLOOKUP(D149,Dienste!C:W,14,)))</f>
        <v/>
      </c>
      <c r="Z149" s="20" t="str">
        <f>IF(OR(J149="Krankenstand",J149="Urlaub"),"",IF(J149="","",VLOOKUP(D149,Dienste!C:W,15,)))</f>
        <v/>
      </c>
      <c r="AA149" s="124" t="str">
        <f t="shared" si="59"/>
        <v/>
      </c>
      <c r="AB149" s="19" t="str">
        <f t="shared" si="60"/>
        <v/>
      </c>
      <c r="AC149" s="126" t="str">
        <f>_xlfn.CONCAT(_xlfn.CONCAT(IF(I149="","",_xlfn.CONCAT("FT: ",I149,IF(J149="","","; "))),IF(B149&lt;Datenblatt!$B$9,"",IF(B149="","",IF(NOT(J149=""),SUBSTITUTE(SUBSTITUTE(SUBSTITUTE(J149," mR","")," oR","")," O",""),"")))),IF(AF149="","",_xlfn.CONCAT(CHAR(10),"; ",AF149)))</f>
        <v/>
      </c>
      <c r="AD149" s="124" t="str">
        <f t="shared" si="69"/>
        <v/>
      </c>
      <c r="AE149" s="19">
        <f t="shared" si="61"/>
        <v>0</v>
      </c>
      <c r="AF149" s="156"/>
    </row>
    <row r="150" spans="1:32" s="9" customFormat="1" ht="13">
      <c r="B150" s="6">
        <f>IF(B149="","",IF(DAY(B149+1)&lt;30,"",B149+1))</f>
        <v>44681</v>
      </c>
      <c r="C150" s="45">
        <f>SMALL(Daten!W:W,COUNTIF(Daten!W:W,"&lt;"&amp;Stundenaufzeichnung!B150+1))</f>
        <v>44578</v>
      </c>
      <c r="D150" s="45" t="str">
        <f t="shared" si="57"/>
        <v/>
      </c>
      <c r="E150" s="8">
        <f t="shared" si="58"/>
        <v>1</v>
      </c>
      <c r="F150" s="8">
        <f>IF(B150="","",MOD(E150+$F$3,7)+1)</f>
        <v>6</v>
      </c>
      <c r="G150" s="8">
        <f>IF(B150="","",VLOOKUP(E150,Datenblatt!$L$2:$N$8,3,FALSE))</f>
        <v>0</v>
      </c>
      <c r="H150" s="8" t="str">
        <f t="shared" si="64"/>
        <v/>
      </c>
      <c r="I150" s="11" t="str">
        <f>IFERROR(VLOOKUP(B150,Datenblatt!$E:$F,2,FALSE),"")</f>
        <v/>
      </c>
      <c r="J150" s="113"/>
      <c r="K150" s="19">
        <f>IF(B150&lt;Datenblatt!$B$9,"",IF(B150="","",IF(G150=0,Datenblatt!$B$7,"")))</f>
        <v>6.67</v>
      </c>
      <c r="L150" s="19" t="str">
        <f t="shared" si="65"/>
        <v/>
      </c>
      <c r="M150" s="124" t="str">
        <f t="shared" si="66"/>
        <v/>
      </c>
      <c r="N150" s="124" t="str">
        <f>IF(AND(L150=Datenblatt!$B$7,NOT(L149=Datenblatt!$B$7),NOT(L151=Datenblatt!$B$7)),"y",IF(AND(L150=Datenblatt!$B$7,L151=Datenblatt!$B$7,NOT(L149=Datenblatt!$B$7)),"a",IF(AND(L150=Datenblatt!$B$7,L149=Datenblatt!$B$7,NOT(L151=Datenblatt!$B$7)),"b","")))</f>
        <v/>
      </c>
      <c r="O150" s="19" t="str">
        <f t="shared" si="67"/>
        <v/>
      </c>
      <c r="P150" s="124" t="str">
        <f>IF(AND(M150=Datenblatt!$B$7,NOT(M149=Datenblatt!$B$7),NOT(M151=Datenblatt!$B$7)),"y",IF(AND(M150=Datenblatt!$B$7,M151=Datenblatt!$B$7,NOT(M149=Datenblatt!$B$7)),"a",IF(AND(M150=Datenblatt!$B$7,M149=Datenblatt!$B$7,NOT(M151=Datenblatt!$B$7)),"b","")))</f>
        <v/>
      </c>
      <c r="Q150" s="19" t="str">
        <f t="shared" si="68"/>
        <v/>
      </c>
      <c r="R150" s="124" t="str">
        <f>IF(I150="","",IF(AND(OR(J150="Krankenstand",J150="Urlaub",J150=""), AND(G150=0,NOT(I150=""))),Datenblatt!$B$7,""))</f>
        <v/>
      </c>
      <c r="S150" s="19" t="str">
        <f>IF(OR(J150="Krankenstand",J150="Urlaub"),"",IF(J150="","",VLOOKUP(D150,Dienste!C:W,21,)))</f>
        <v/>
      </c>
      <c r="T150" s="18" t="str">
        <f>IF(OR(J150="Krankenstand",J150="Urlaub"),"",IF(J150="","",VLOOKUP(D150,Dienste!C:W,5,)))</f>
        <v/>
      </c>
      <c r="U150" s="18" t="str">
        <f>IF(OR(J150="Krankenstand",J150="Urlaub"),"",IF(J150="","",VLOOKUP(D150,Dienste!C:W,6,)))</f>
        <v/>
      </c>
      <c r="V150" s="18" t="str">
        <f>IF(OR(J150="Krankenstand",J150="Urlaub"),"",IF(J150="","",VLOOKUP(D150,Dienste!C:W,7,)))</f>
        <v/>
      </c>
      <c r="W150" s="18" t="str">
        <f>IF(OR(J150="Krankenstand",J150="Urlaub"),"",IF(J150="","",VLOOKUP(D150,Dienste!C:W,11,)))</f>
        <v/>
      </c>
      <c r="X150" s="18" t="str">
        <f>IF(OR(J150="Krankenstand",J150="Urlaub"),"",IF(J150="","",VLOOKUP(D150,Dienste!C:W,12,)))</f>
        <v/>
      </c>
      <c r="Y150" s="19" t="str">
        <f>IF(OR(J150="Krankenstand",J150="Urlaub"),"",IF(J150="","",VLOOKUP(D150,Dienste!C:W,14,)))</f>
        <v/>
      </c>
      <c r="Z150" s="20" t="str">
        <f>IF(OR(J150="Krankenstand",J150="Urlaub"),"",IF(J150="","",VLOOKUP(D150,Dienste!C:W,15,)))</f>
        <v/>
      </c>
      <c r="AA150" s="124" t="str">
        <f>IF(OR(Y150="",NOT(AB150="")),"",IF(AND(Y150&lt;AE151,AE151&gt;0),Y150,IF(AE151&gt;0,AE151,"")))</f>
        <v/>
      </c>
      <c r="AB150" s="19" t="str">
        <f t="shared" si="60"/>
        <v/>
      </c>
      <c r="AC150" s="126" t="str">
        <f>_xlfn.CONCAT(_xlfn.CONCAT(IF(I150="","",_xlfn.CONCAT("FT: ",I150,IF(J150="","","; "))),IF(B150&lt;Datenblatt!$B$9,"",IF(B150="","",IF(NOT(J150=""),SUBSTITUTE(SUBSTITUTE(SUBSTITUTE(J150," mR","")," oR","")," O",""),"")))),IF(AF150="","",_xlfn.CONCAT(CHAR(10),"; ",AF150)))</f>
        <v/>
      </c>
      <c r="AD150" s="124" t="str">
        <f t="shared" si="69"/>
        <v/>
      </c>
      <c r="AE150" s="19">
        <f t="shared" si="61"/>
        <v>0</v>
      </c>
      <c r="AF150" s="156"/>
    </row>
    <row r="151" spans="1:32" s="9" customFormat="1" ht="13">
      <c r="B151" s="28" t="str">
        <f>IF(B150="","",IF(DAY(B150+1)&lt;31,"",B150+1))</f>
        <v/>
      </c>
      <c r="C151" s="47" t="e">
        <f>SMALL(Daten!W:W,COUNTIF(Daten!W:W,"&lt;"&amp;Stundenaufzeichnung!B151+1))</f>
        <v>#NUM!</v>
      </c>
      <c r="D151" s="47" t="str">
        <f t="shared" si="57"/>
        <v/>
      </c>
      <c r="E151" s="29" t="str">
        <f t="shared" si="58"/>
        <v/>
      </c>
      <c r="F151" s="29" t="str">
        <f>IF(B151="","",MOD(E151+$F$3,7)+1)</f>
        <v/>
      </c>
      <c r="G151" s="29" t="str">
        <f>IF(B151="","",VLOOKUP(E151,Datenblatt!$L$2:$N$8,3,FALSE))</f>
        <v/>
      </c>
      <c r="H151" s="29" t="str">
        <f t="shared" si="64"/>
        <v/>
      </c>
      <c r="I151" s="123" t="str">
        <f>IFERROR(VLOOKUP(B151,Datenblatt!$E:$F,2,FALSE),"")</f>
        <v/>
      </c>
      <c r="J151" s="114"/>
      <c r="K151" s="30" t="str">
        <f>IF(B151&lt;Datenblatt!$B$9,"",IF(B151="","",IF(G151=0,Datenblatt!$B$7,"")))</f>
        <v/>
      </c>
      <c r="L151" s="30" t="str">
        <f t="shared" si="65"/>
        <v/>
      </c>
      <c r="M151" s="30" t="str">
        <f t="shared" si="66"/>
        <v/>
      </c>
      <c r="N151" s="30" t="str">
        <f>IF(AND(L151=Datenblatt!$B$7,NOT(L150=Datenblatt!$B$7),NOT(L152=Datenblatt!$B$7)),"y",IF(AND(L151=Datenblatt!$B$7,L152=Datenblatt!$B$7,NOT(L150=Datenblatt!$B$7)),"a",IF(AND(L151=Datenblatt!$B$7,L150=Datenblatt!$B$7,NOT(L152=Datenblatt!$B$7)),"b","")))</f>
        <v/>
      </c>
      <c r="O151" s="30" t="str">
        <f t="shared" si="67"/>
        <v/>
      </c>
      <c r="P151" s="30" t="str">
        <f>IF(AND(M151=Datenblatt!$B$7,NOT(M150=Datenblatt!$B$7),NOT(M152=Datenblatt!$B$7)),"y",IF(AND(M151=Datenblatt!$B$7,M152=Datenblatt!$B$7,NOT(M150=Datenblatt!$B$7)),"a",IF(AND(M151=Datenblatt!$B$7,M150=Datenblatt!$B$7,NOT(M152=Datenblatt!$B$7)),"b","")))</f>
        <v/>
      </c>
      <c r="Q151" s="30" t="str">
        <f t="shared" si="68"/>
        <v/>
      </c>
      <c r="R151" s="30" t="str">
        <f>IF(I151="","",IF(AND(OR(J151="Krankenstand",J151="Urlaub",J151=""), AND(G151=0,NOT(I151=""))),Datenblatt!$B$7,""))</f>
        <v/>
      </c>
      <c r="S151" s="30" t="str">
        <f>IF(OR(J151="Krankenstand",J151="Urlaub"),"",IF(J151="","",VLOOKUP(D151,Dienste!C:W,21,)))</f>
        <v/>
      </c>
      <c r="T151" s="31" t="str">
        <f>IF(OR(J151="Krankenstand",J151="Urlaub"),"",IF(J151="","",VLOOKUP(D151,Dienste!C:W,5,)))</f>
        <v/>
      </c>
      <c r="U151" s="31" t="str">
        <f>IF(OR(J151="Krankenstand",J151="Urlaub"),"",IF(J151="","",VLOOKUP(D151,Dienste!C:W,6,)))</f>
        <v/>
      </c>
      <c r="V151" s="31" t="str">
        <f>IF(OR(J151="Krankenstand",J151="Urlaub"),"",IF(J151="","",VLOOKUP(D151,Dienste!C:W,7,)))</f>
        <v/>
      </c>
      <c r="W151" s="31" t="str">
        <f>IF(OR(J151="Krankenstand",J151="Urlaub"),"",IF(J151="","",VLOOKUP(D151,Dienste!C:W,11,)))</f>
        <v/>
      </c>
      <c r="X151" s="31" t="str">
        <f>IF(OR(J151="Krankenstand",J151="Urlaub"),"",IF(J151="","",VLOOKUP(D151,Dienste!C:W,12,)))</f>
        <v/>
      </c>
      <c r="Y151" s="30" t="str">
        <f>IF(OR(J151="Krankenstand",J151="Urlaub"),"",IF(J151="","",VLOOKUP(D151,Dienste!C:W,14,)))</f>
        <v/>
      </c>
      <c r="Z151" s="32" t="str">
        <f>IF(OR(J151="Krankenstand",J151="Urlaub"),"",IF(J151="","",VLOOKUP(D151,Dienste!C:W,15,)))</f>
        <v/>
      </c>
      <c r="AA151" s="30" t="str">
        <f>IF(OR(Y151="",NOT(AB151="")),"",IF(AND(Y151&lt;AE152,AE152&gt;0),Y151,IF(AE152&gt;0,AE152,"")))</f>
        <v/>
      </c>
      <c r="AB151" s="30" t="str">
        <f t="shared" si="60"/>
        <v/>
      </c>
      <c r="AC151" s="125" t="str">
        <f>_xlfn.CONCAT(_xlfn.CONCAT(IF(I151="","",_xlfn.CONCAT("FT: ",I151,IF(J151="","","; "))),IF(B151&lt;Datenblatt!$B$9,"",IF(B151="","",IF(NOT(J151=""),SUBSTITUTE(SUBSTITUTE(SUBSTITUTE(J151," mR","")," oR","")," O",""),"")))),IF(AF151="","",_xlfn.CONCAT(CHAR(10),"; ",AF151)))</f>
        <v/>
      </c>
      <c r="AD151" s="30" t="str">
        <f t="shared" si="69"/>
        <v/>
      </c>
      <c r="AE151" s="30">
        <f>IF(OR(Y151="",NOT(AB151="")),AE152,AE152-Y151)</f>
        <v>0</v>
      </c>
      <c r="AF151" s="157"/>
    </row>
    <row r="152" spans="1:32" s="8" customFormat="1" ht="13">
      <c r="AA152" s="19">
        <f>IF(AD153-AB153-K153&lt;0,0,AD153-AB153-K153)</f>
        <v>0</v>
      </c>
      <c r="AC152" s="17" t="s">
        <v>193</v>
      </c>
      <c r="AE152" s="19">
        <f>AA152</f>
        <v>0</v>
      </c>
      <c r="AF152" s="17"/>
    </row>
    <row r="153" spans="1:32" s="8" customFormat="1" ht="13">
      <c r="B153" s="25" t="str">
        <f>"Summen "&amp;TEXT(B121,"MMMM")</f>
        <v>Summen April</v>
      </c>
      <c r="C153" s="25"/>
      <c r="D153" s="25"/>
      <c r="E153" s="17"/>
      <c r="F153" s="17"/>
      <c r="G153" s="17"/>
      <c r="H153" s="17"/>
      <c r="I153" s="17"/>
      <c r="J153" s="17"/>
      <c r="K153" s="19">
        <f>SUM(K121:K151)</f>
        <v>173.41999999999993</v>
      </c>
      <c r="L153" s="19">
        <f t="shared" ref="L153:M153" si="70">SUM(L121:L151)</f>
        <v>0</v>
      </c>
      <c r="M153" s="19">
        <f t="shared" si="70"/>
        <v>0</v>
      </c>
      <c r="N153" s="19"/>
      <c r="O153" s="19" t="str">
        <f>IF(_xlfn.CONCAT(O121:O151)="","",REPLACE(_xlfn.CONCAT(O121:O151),LEN(_xlfn.CONCAT(O121:O151))-1,1,""))</f>
        <v/>
      </c>
      <c r="P153" s="19"/>
      <c r="Q153" s="19" t="str">
        <f t="shared" ref="Q153" si="71">IF(_xlfn.CONCAT(Q121:Q151)="","",REPLACE(_xlfn.CONCAT(Q121:Q151),LEN(_xlfn.CONCAT(Q121:Q151))-1,1,""))</f>
        <v/>
      </c>
      <c r="R153" s="19">
        <f t="shared" ref="R153:S153" si="72">SUM(R121:R151)</f>
        <v>6.67</v>
      </c>
      <c r="S153" s="19">
        <f t="shared" si="72"/>
        <v>0</v>
      </c>
      <c r="T153" s="19"/>
      <c r="U153" s="19"/>
      <c r="V153" s="19"/>
      <c r="W153" s="19"/>
      <c r="X153" s="17"/>
      <c r="Y153" s="19">
        <f>SUM(Y121:Y151)</f>
        <v>0</v>
      </c>
      <c r="Z153" s="20">
        <f>SUM(Z121:Z151)</f>
        <v>0</v>
      </c>
      <c r="AA153" s="26">
        <f>IF(AA152&gt;10,10,AA152)</f>
        <v>0</v>
      </c>
      <c r="AB153" s="19">
        <f t="shared" ref="AB153" si="73">SUM(AB121:AB151)</f>
        <v>0</v>
      </c>
      <c r="AC153" s="20">
        <f>R154</f>
        <v>1</v>
      </c>
      <c r="AD153" s="19">
        <f>SUM(AD121:AD151)</f>
        <v>6.67</v>
      </c>
      <c r="AE153" s="19"/>
      <c r="AF153" s="20"/>
    </row>
    <row r="154" spans="1:32" s="8" customFormat="1" ht="13">
      <c r="B154" s="25" t="str">
        <f>"Anzahl "&amp;TEXT(B121,"MMMM")</f>
        <v>Anzahl April</v>
      </c>
      <c r="C154" s="25"/>
      <c r="D154" s="25"/>
      <c r="E154" s="17"/>
      <c r="F154" s="17"/>
      <c r="G154" s="17"/>
      <c r="H154" s="17"/>
      <c r="I154" s="17"/>
      <c r="J154" s="17"/>
      <c r="K154" s="17">
        <f>COUNT(K121:K151)</f>
        <v>26</v>
      </c>
      <c r="L154" s="17">
        <f t="shared" ref="L154:M154" si="74">COUNT(L121:L151)</f>
        <v>0</v>
      </c>
      <c r="M154" s="17">
        <f t="shared" si="74"/>
        <v>0</v>
      </c>
      <c r="N154" s="17"/>
      <c r="O154" s="17"/>
      <c r="P154" s="17"/>
      <c r="Q154" s="17"/>
      <c r="R154" s="17">
        <f t="shared" ref="R154:S154" si="75">COUNT(R121:R151)</f>
        <v>1</v>
      </c>
      <c r="S154" s="17">
        <f t="shared" si="75"/>
        <v>0</v>
      </c>
      <c r="T154" s="17"/>
      <c r="U154" s="17"/>
      <c r="V154" s="17"/>
      <c r="W154" s="17"/>
      <c r="X154" s="17"/>
      <c r="Y154" s="17"/>
      <c r="Z154" s="17"/>
      <c r="AA154" s="27">
        <f>IF(AA152&gt;10,AA152-10,0)</f>
        <v>0</v>
      </c>
      <c r="AB154" s="17"/>
      <c r="AC154" s="17"/>
      <c r="AD154" s="17"/>
      <c r="AE154" s="17"/>
      <c r="AF154" s="17"/>
    </row>
    <row r="155" spans="1:32" s="8" customFormat="1" ht="13.5" thickBot="1">
      <c r="A155" s="10"/>
      <c r="B155" s="10"/>
      <c r="C155" s="10"/>
      <c r="D155" s="10"/>
      <c r="E155" s="10"/>
      <c r="F155" s="10"/>
      <c r="G155" s="10"/>
      <c r="H155" s="10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0"/>
      <c r="AB155" s="10"/>
      <c r="AC155" s="10"/>
      <c r="AD155" s="34"/>
      <c r="AE155" s="34"/>
      <c r="AF155" s="10"/>
    </row>
    <row r="156" spans="1:32" s="5" customFormat="1"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32" s="5" customFormat="1" ht="18.5">
      <c r="B157" s="33" t="s">
        <v>95</v>
      </c>
      <c r="C157" s="33"/>
      <c r="D157" s="33"/>
      <c r="E157" s="23"/>
      <c r="F157" s="23"/>
      <c r="G157" s="23"/>
      <c r="H157" s="23"/>
      <c r="I157" s="217" t="str">
        <f>Datenblatt!$B$4</f>
        <v>Dummy Name</v>
      </c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8" t="str">
        <f>TEXT(B160,"MMMM JJJJ")</f>
        <v>Mai 2022</v>
      </c>
      <c r="U157" s="218"/>
      <c r="V157" s="218"/>
      <c r="W157" s="218"/>
      <c r="X157" s="8"/>
      <c r="Y157" s="8"/>
      <c r="Z157" s="8"/>
    </row>
    <row r="158" spans="1:32" s="5" customFormat="1" ht="15" customHeight="1">
      <c r="I158" s="2"/>
      <c r="J158" s="2"/>
      <c r="K158" s="13"/>
      <c r="L158" s="13"/>
      <c r="M158" s="13"/>
      <c r="N158" s="13"/>
      <c r="O158" s="13"/>
      <c r="P158" s="13"/>
      <c r="Q158" s="13"/>
      <c r="R158" s="13"/>
      <c r="S158" s="13"/>
      <c r="T158" s="221" t="s">
        <v>43</v>
      </c>
      <c r="U158" s="221"/>
      <c r="V158" s="221" t="s">
        <v>45</v>
      </c>
      <c r="W158" s="221" t="s">
        <v>116</v>
      </c>
      <c r="X158" s="221" t="s">
        <v>11</v>
      </c>
      <c r="Y158" s="219" t="s">
        <v>194</v>
      </c>
      <c r="Z158" s="219" t="s">
        <v>7</v>
      </c>
      <c r="AA158" s="220" t="s">
        <v>49</v>
      </c>
      <c r="AB158" s="220"/>
      <c r="AC158" s="160"/>
      <c r="AD158" s="160"/>
    </row>
    <row r="159" spans="1:32" s="5" customFormat="1" ht="15" customHeight="1">
      <c r="B159" s="8"/>
      <c r="C159" s="8"/>
      <c r="D159" s="8" t="s">
        <v>161</v>
      </c>
      <c r="E159" s="8"/>
      <c r="F159" s="8">
        <f>VLOOKUP(Datenblatt!$B$8,Datenblatt!$J:$K,2,FALSE)</f>
        <v>4</v>
      </c>
      <c r="G159" s="8" t="s">
        <v>113</v>
      </c>
      <c r="H159" s="8"/>
      <c r="I159" s="12" t="s">
        <v>92</v>
      </c>
      <c r="J159" s="115" t="s">
        <v>12</v>
      </c>
      <c r="K159" s="12" t="s">
        <v>94</v>
      </c>
      <c r="L159" s="12" t="s">
        <v>85</v>
      </c>
      <c r="M159" s="12" t="s">
        <v>88</v>
      </c>
      <c r="N159" s="12" t="s">
        <v>117</v>
      </c>
      <c r="O159" s="12" t="s">
        <v>117</v>
      </c>
      <c r="P159" s="12" t="s">
        <v>118</v>
      </c>
      <c r="Q159" s="12" t="s">
        <v>118</v>
      </c>
      <c r="R159" s="12" t="s">
        <v>112</v>
      </c>
      <c r="S159" s="12" t="s">
        <v>115</v>
      </c>
      <c r="T159" s="15" t="s">
        <v>51</v>
      </c>
      <c r="U159" s="15" t="s">
        <v>50</v>
      </c>
      <c r="V159" s="222"/>
      <c r="W159" s="222"/>
      <c r="X159" s="222"/>
      <c r="Y159" s="219"/>
      <c r="Z159" s="219" t="s">
        <v>7</v>
      </c>
      <c r="AA159" s="21">
        <v>0.5</v>
      </c>
      <c r="AB159" s="16" t="s">
        <v>114</v>
      </c>
      <c r="AC159" s="16" t="s">
        <v>131</v>
      </c>
      <c r="AD159" s="16" t="s">
        <v>131</v>
      </c>
      <c r="AE159" s="128" t="s">
        <v>195</v>
      </c>
      <c r="AF159" s="16" t="s">
        <v>198</v>
      </c>
    </row>
    <row r="160" spans="1:32" s="9" customFormat="1" ht="13">
      <c r="A160" s="9">
        <f>A121+1</f>
        <v>5</v>
      </c>
      <c r="B160" s="6">
        <f>DATE(Datenblatt!$B$3,A160,1)</f>
        <v>44682</v>
      </c>
      <c r="C160" s="45">
        <f>SMALL(Daten!W:W,COUNTIF(Daten!W:W,"&lt;"&amp;Stundenaufzeichnung!B160+1))</f>
        <v>44578</v>
      </c>
      <c r="D160" s="45" t="str">
        <f t="shared" ref="D160:D190" si="76">IF(J160="","",CONCATENATE(C160," ",J160))</f>
        <v/>
      </c>
      <c r="E160" s="8">
        <f t="shared" ref="E160:E190" si="77">IF(B160="","",WEEKDAY(B160,16))</f>
        <v>2</v>
      </c>
      <c r="F160" s="8">
        <f>MOD(E160+$F$3,7)+1</f>
        <v>7</v>
      </c>
      <c r="G160" s="8">
        <f>IF(B160="","",VLOOKUP(E160,Datenblatt!$L$2:$N$8,3,FALSE))</f>
        <v>1</v>
      </c>
      <c r="H160" s="8" t="str">
        <f>IF(OR(G160=1),"x",IF(I160="","","x"))</f>
        <v>x</v>
      </c>
      <c r="I160" s="11" t="str">
        <f>IFERROR(VLOOKUP(B160,Datenblatt!$E:$F,2,FALSE),"")</f>
        <v>Staatsfeiertag</v>
      </c>
      <c r="J160" s="113"/>
      <c r="K160" s="19" t="str">
        <f>IF(B160&lt;Datenblatt!$B$9,"",IF(B160="","",IF(G160=0,Datenblatt!$B$7,"")))</f>
        <v/>
      </c>
      <c r="L160" s="19" t="str">
        <f>IF(AND(J160="Krankenstand",R160=""),K160,"")</f>
        <v/>
      </c>
      <c r="M160" s="124" t="str">
        <f>IF(AND(J160="Urlaub",R160=""),K160,"")</f>
        <v/>
      </c>
      <c r="N160" s="124" t="str">
        <f>IF(AND(L160=Datenblatt!$B$7,NOT(L159=Datenblatt!$B$7),NOT(L161=Datenblatt!$B$7)),"y",IF(AND(L160=Datenblatt!$B$7,L161=Datenblatt!$B$7,NOT(L159=Datenblatt!$B$7)),"a",IF(AND(L160=Datenblatt!$B$7,L159=Datenblatt!$B$7,NOT(L161=Datenblatt!$B$7)),"b","")))</f>
        <v/>
      </c>
      <c r="O160" s="19" t="str">
        <f>IF(N160="a",TEXT(B160,"TT.MM.")&amp;" - ",IF(OR(N160="b",N160="y"),TEXT(B160,"TT.MM.")&amp;"; ",""))</f>
        <v/>
      </c>
      <c r="P160" s="124" t="str">
        <f>IF(AND(M160=Datenblatt!$B$7,NOT(M159=Datenblatt!$B$7),NOT(M161=Datenblatt!$B$7)),"y",IF(AND(M160=Datenblatt!$B$7,M161=Datenblatt!$B$7,NOT(M159=Datenblatt!$B$7)),"a",IF(AND(M160=Datenblatt!$B$7,M159=Datenblatt!$B$7,NOT(M161=Datenblatt!$B$7)),"b","")))</f>
        <v/>
      </c>
      <c r="Q160" s="19" t="str">
        <f>IF(P160="a",TEXT(B160,"TT.MM.")&amp;" - ",IF(OR(P160="b",P160="y"),TEXT(B160,"TT.MM.")&amp;"; ",""))</f>
        <v/>
      </c>
      <c r="R160" s="124" t="str">
        <f>IF(I160="","",IF(AND(OR(J160="Krankenstand",J160="Urlaub",J160=""), AND(G160=0,NOT(I160=""))),Datenblatt!$B$7,""))</f>
        <v/>
      </c>
      <c r="S160" s="19" t="str">
        <f>IF(OR(J160="Krankenstand",J160="Urlaub"),"",IF(J160="","",VLOOKUP(D160,Dienste!C:W,21,)))</f>
        <v/>
      </c>
      <c r="T160" s="18" t="str">
        <f>IF(OR(J160="Krankenstand",J160="Urlaub"),"",IF(J160="","",VLOOKUP(D160,Dienste!C:W,5,)))</f>
        <v/>
      </c>
      <c r="U160" s="18" t="str">
        <f>IF(OR(J160="Krankenstand",J160="Urlaub"),"",IF(J160="","",VLOOKUP(D160,Dienste!C:W,6,)))</f>
        <v/>
      </c>
      <c r="V160" s="18" t="str">
        <f>IF(OR(J160="Krankenstand",J160="Urlaub"),"",IF(J160="","",VLOOKUP(D160,Dienste!C:W,7,)))</f>
        <v/>
      </c>
      <c r="W160" s="18" t="str">
        <f>IF(OR(J160="Krankenstand",J160="Urlaub"),"",IF(J160="","",VLOOKUP(D160,Dienste!C:W,11,)))</f>
        <v/>
      </c>
      <c r="X160" s="18" t="str">
        <f>IF(OR(J160="Krankenstand",J160="Urlaub"),"",IF(J160="","",VLOOKUP(D160,Dienste!C:W,12,)))</f>
        <v/>
      </c>
      <c r="Y160" s="19" t="str">
        <f>IF(OR(J160="Krankenstand",J160="Urlaub"),"",IF(J160="","",VLOOKUP(D160,Dienste!C:W,14,)))</f>
        <v/>
      </c>
      <c r="Z160" s="20" t="str">
        <f>IF(OR(J160="Krankenstand",J160="Urlaub"),"",IF(J160="","",VLOOKUP(D160,Dienste!C:W,15,)))</f>
        <v/>
      </c>
      <c r="AA160" s="124" t="str">
        <f t="shared" ref="AA160:AA188" si="78">IF(OR(Y160="",NOT(AB160="")),"",IF(AND(Y160&lt;AE161,AE161&gt;0),Y160,IF(AE161&gt;0,AE161,"")))</f>
        <v/>
      </c>
      <c r="AB160" s="19" t="str">
        <f t="shared" ref="AB160:AB190" si="79">IF(I160="","",Y160)</f>
        <v/>
      </c>
      <c r="AC160" s="126" t="str">
        <f>_xlfn.CONCAT(_xlfn.CONCAT(IF(I160="","",_xlfn.CONCAT("FT: ",I160,IF(J160="","","; "))),IF(B160&lt;Datenblatt!$B$9,"",IF(B160="","",IF(NOT(J160=""),SUBSTITUTE(SUBSTITUTE(SUBSTITUTE(J160," mR","")," oR","")," O",""),"")))),IF(AF160="","",_xlfn.CONCAT(CHAR(10),"; ",AF160)))</f>
        <v>FT: Staatsfeiertag</v>
      </c>
      <c r="AD160" s="124" t="str">
        <f>IF(SUM(Y160,R160,M160,L160)&lt;=0,"",SUM(Y160,R160,M160,L160))</f>
        <v/>
      </c>
      <c r="AE160" s="19">
        <f t="shared" ref="AE160:AE189" si="80">IF(OR(Y160="",NOT(AB160="")),AE161,AE161-Y160)</f>
        <v>0</v>
      </c>
      <c r="AF160" s="156"/>
    </row>
    <row r="161" spans="2:32" s="9" customFormat="1" ht="13">
      <c r="B161" s="6">
        <f t="shared" ref="B161:B187" si="81">B160+1</f>
        <v>44683</v>
      </c>
      <c r="C161" s="45">
        <f>SMALL(Daten!W:W,COUNTIF(Daten!W:W,"&lt;"&amp;Stundenaufzeichnung!B161+1))</f>
        <v>44578</v>
      </c>
      <c r="D161" s="45" t="str">
        <f t="shared" si="76"/>
        <v/>
      </c>
      <c r="E161" s="8">
        <f t="shared" si="77"/>
        <v>3</v>
      </c>
      <c r="F161" s="8">
        <f t="shared" ref="F161:F187" si="82">MOD(E161+$F$3,7)+1</f>
        <v>1</v>
      </c>
      <c r="G161" s="8">
        <f>IF(B161="","",VLOOKUP(E161,Datenblatt!$L$2:$N$8,3,FALSE))</f>
        <v>0</v>
      </c>
      <c r="H161" s="8" t="str">
        <f t="shared" ref="H161:H190" si="83">IF(OR(G161=1),"x",IF(I161="","","x"))</f>
        <v/>
      </c>
      <c r="I161" s="11" t="str">
        <f>IFERROR(VLOOKUP(B161,Datenblatt!$E:$F,2,FALSE),"")</f>
        <v/>
      </c>
      <c r="J161" s="113"/>
      <c r="K161" s="19">
        <f>IF(B161&lt;Datenblatt!$B$9,"",IF(B161="","",IF(G161=0,Datenblatt!$B$7,"")))</f>
        <v>6.67</v>
      </c>
      <c r="L161" s="19" t="str">
        <f t="shared" ref="L161:L190" si="84">IF(AND(J161="Krankenstand",R161=""),K161,"")</f>
        <v/>
      </c>
      <c r="M161" s="124" t="str">
        <f t="shared" ref="M161:M190" si="85">IF(AND(J161="Urlaub",R161=""),K161,"")</f>
        <v/>
      </c>
      <c r="N161" s="124" t="str">
        <f>IF(AND(L161=Datenblatt!$B$7,NOT(L160=Datenblatt!$B$7),NOT(L162=Datenblatt!$B$7)),"y",IF(AND(L161=Datenblatt!$B$7,L162=Datenblatt!$B$7,NOT(L160=Datenblatt!$B$7)),"a",IF(AND(L161=Datenblatt!$B$7,L160=Datenblatt!$B$7,NOT(L162=Datenblatt!$B$7)),"b","")))</f>
        <v/>
      </c>
      <c r="O161" s="19" t="str">
        <f t="shared" ref="O161:O190" si="86">IF(N161="a",TEXT(B161,"TT.MM.")&amp;" - ",IF(OR(N161="b",N161="y"),TEXT(B161,"TT.MM.")&amp;"; ",""))</f>
        <v/>
      </c>
      <c r="P161" s="124" t="str">
        <f>IF(AND(M161=Datenblatt!$B$7,NOT(M160=Datenblatt!$B$7),NOT(M162=Datenblatt!$B$7)),"y",IF(AND(M161=Datenblatt!$B$7,M162=Datenblatt!$B$7,NOT(M160=Datenblatt!$B$7)),"a",IF(AND(M161=Datenblatt!$B$7,M160=Datenblatt!$B$7,NOT(M162=Datenblatt!$B$7)),"b","")))</f>
        <v/>
      </c>
      <c r="Q161" s="19" t="str">
        <f t="shared" ref="Q161:Q190" si="87">IF(P161="a",TEXT(B161,"TT.MM.")&amp;" - ",IF(OR(P161="b",P161="y"),TEXT(B161,"TT.MM.")&amp;"; ",""))</f>
        <v/>
      </c>
      <c r="R161" s="124" t="str">
        <f>IF(I161="","",IF(AND(OR(J161="Krankenstand",J161="Urlaub",J161=""), AND(G161=0,NOT(I161=""))),Datenblatt!$B$7,""))</f>
        <v/>
      </c>
      <c r="S161" s="19" t="str">
        <f>IF(OR(J161="Krankenstand",J161="Urlaub"),"",IF(J161="","",VLOOKUP(D161,Dienste!C:W,21,)))</f>
        <v/>
      </c>
      <c r="T161" s="18" t="str">
        <f>IF(OR(J161="Krankenstand",J161="Urlaub"),"",IF(J161="","",VLOOKUP(D161,Dienste!C:W,5,)))</f>
        <v/>
      </c>
      <c r="U161" s="18" t="str">
        <f>IF(OR(J161="Krankenstand",J161="Urlaub"),"",IF(J161="","",VLOOKUP(D161,Dienste!C:W,6,)))</f>
        <v/>
      </c>
      <c r="V161" s="18" t="str">
        <f>IF(OR(J161="Krankenstand",J161="Urlaub"),"",IF(J161="","",VLOOKUP(D161,Dienste!C:W,7,)))</f>
        <v/>
      </c>
      <c r="W161" s="18" t="str">
        <f>IF(OR(J161="Krankenstand",J161="Urlaub"),"",IF(J161="","",VLOOKUP(D161,Dienste!C:W,11,)))</f>
        <v/>
      </c>
      <c r="X161" s="18" t="str">
        <f>IF(OR(J161="Krankenstand",J161="Urlaub"),"",IF(J161="","",VLOOKUP(D161,Dienste!C:W,12,)))</f>
        <v/>
      </c>
      <c r="Y161" s="19" t="str">
        <f>IF(OR(J161="Krankenstand",J161="Urlaub"),"",IF(J161="","",VLOOKUP(D161,Dienste!C:W,14,)))</f>
        <v/>
      </c>
      <c r="Z161" s="20" t="str">
        <f>IF(OR(J161="Krankenstand",J161="Urlaub"),"",IF(J161="","",VLOOKUP(D161,Dienste!C:W,15,)))</f>
        <v/>
      </c>
      <c r="AA161" s="124" t="str">
        <f t="shared" si="78"/>
        <v/>
      </c>
      <c r="AB161" s="19" t="str">
        <f t="shared" si="79"/>
        <v/>
      </c>
      <c r="AC161" s="126" t="str">
        <f>_xlfn.CONCAT(_xlfn.CONCAT(IF(I161="","",_xlfn.CONCAT("FT: ",I161,IF(J161="","","; "))),IF(B161&lt;Datenblatt!$B$9,"",IF(B161="","",IF(NOT(J161=""),SUBSTITUTE(SUBSTITUTE(SUBSTITUTE(J161," mR","")," oR","")," O",""),"")))),IF(AF161="","",_xlfn.CONCAT(CHAR(10),"; ",AF161)))</f>
        <v/>
      </c>
      <c r="AD161" s="124" t="str">
        <f t="shared" ref="AD161:AD190" si="88">IF(SUM(Y161,R161,M161,L161)&lt;=0,"",SUM(Y161,R161,M161,L161))</f>
        <v/>
      </c>
      <c r="AE161" s="19">
        <f t="shared" si="80"/>
        <v>0</v>
      </c>
      <c r="AF161" s="156"/>
    </row>
    <row r="162" spans="2:32" s="9" customFormat="1" ht="13">
      <c r="B162" s="6">
        <f t="shared" si="81"/>
        <v>44684</v>
      </c>
      <c r="C162" s="45">
        <f>SMALL(Daten!W:W,COUNTIF(Daten!W:W,"&lt;"&amp;Stundenaufzeichnung!B162+1))</f>
        <v>44578</v>
      </c>
      <c r="D162" s="45" t="str">
        <f t="shared" si="76"/>
        <v/>
      </c>
      <c r="E162" s="8">
        <f t="shared" si="77"/>
        <v>4</v>
      </c>
      <c r="F162" s="8">
        <f t="shared" si="82"/>
        <v>2</v>
      </c>
      <c r="G162" s="8">
        <f>IF(B162="","",VLOOKUP(E162,Datenblatt!$L$2:$N$8,3,FALSE))</f>
        <v>0</v>
      </c>
      <c r="H162" s="8" t="str">
        <f t="shared" si="83"/>
        <v/>
      </c>
      <c r="I162" s="11" t="str">
        <f>IFERROR(VLOOKUP(B162,Datenblatt!$E:$F,2,FALSE),"")</f>
        <v/>
      </c>
      <c r="J162" s="113"/>
      <c r="K162" s="19">
        <f>IF(B162&lt;Datenblatt!$B$9,"",IF(B162="","",IF(G162=0,Datenblatt!$B$7,"")))</f>
        <v>6.67</v>
      </c>
      <c r="L162" s="19" t="str">
        <f t="shared" si="84"/>
        <v/>
      </c>
      <c r="M162" s="124" t="str">
        <f t="shared" si="85"/>
        <v/>
      </c>
      <c r="N162" s="124" t="str">
        <f>IF(AND(L162=Datenblatt!$B$7,NOT(L161=Datenblatt!$B$7),NOT(L163=Datenblatt!$B$7)),"y",IF(AND(L162=Datenblatt!$B$7,L163=Datenblatt!$B$7,NOT(L161=Datenblatt!$B$7)),"a",IF(AND(L162=Datenblatt!$B$7,L161=Datenblatt!$B$7,NOT(L163=Datenblatt!$B$7)),"b","")))</f>
        <v/>
      </c>
      <c r="O162" s="19" t="str">
        <f t="shared" si="86"/>
        <v/>
      </c>
      <c r="P162" s="124" t="str">
        <f>IF(AND(M162=Datenblatt!$B$7,NOT(M161=Datenblatt!$B$7),NOT(M163=Datenblatt!$B$7)),"y",IF(AND(M162=Datenblatt!$B$7,M163=Datenblatt!$B$7,NOT(M161=Datenblatt!$B$7)),"a",IF(AND(M162=Datenblatt!$B$7,M161=Datenblatt!$B$7,NOT(M163=Datenblatt!$B$7)),"b","")))</f>
        <v/>
      </c>
      <c r="Q162" s="19" t="str">
        <f t="shared" si="87"/>
        <v/>
      </c>
      <c r="R162" s="124" t="str">
        <f>IF(I162="","",IF(AND(OR(J162="Krankenstand",J162="Urlaub",J162=""), AND(G162=0,NOT(I162=""))),Datenblatt!$B$7,""))</f>
        <v/>
      </c>
      <c r="S162" s="19" t="str">
        <f>IF(OR(J162="Krankenstand",J162="Urlaub"),"",IF(J162="","",VLOOKUP(D162,Dienste!C:W,21,)))</f>
        <v/>
      </c>
      <c r="T162" s="18" t="str">
        <f>IF(OR(J162="Krankenstand",J162="Urlaub"),"",IF(J162="","",VLOOKUP(D162,Dienste!C:W,5,)))</f>
        <v/>
      </c>
      <c r="U162" s="18" t="str">
        <f>IF(OR(J162="Krankenstand",J162="Urlaub"),"",IF(J162="","",VLOOKUP(D162,Dienste!C:W,6,)))</f>
        <v/>
      </c>
      <c r="V162" s="18" t="str">
        <f>IF(OR(J162="Krankenstand",J162="Urlaub"),"",IF(J162="","",VLOOKUP(D162,Dienste!C:W,7,)))</f>
        <v/>
      </c>
      <c r="W162" s="18" t="str">
        <f>IF(OR(J162="Krankenstand",J162="Urlaub"),"",IF(J162="","",VLOOKUP(D162,Dienste!C:W,11,)))</f>
        <v/>
      </c>
      <c r="X162" s="18" t="str">
        <f>IF(OR(J162="Krankenstand",J162="Urlaub"),"",IF(J162="","",VLOOKUP(D162,Dienste!C:W,12,)))</f>
        <v/>
      </c>
      <c r="Y162" s="19" t="str">
        <f>IF(OR(J162="Krankenstand",J162="Urlaub"),"",IF(J162="","",VLOOKUP(D162,Dienste!C:W,14,)))</f>
        <v/>
      </c>
      <c r="Z162" s="20" t="str">
        <f>IF(OR(J162="Krankenstand",J162="Urlaub"),"",IF(J162="","",VLOOKUP(D162,Dienste!C:W,15,)))</f>
        <v/>
      </c>
      <c r="AA162" s="124" t="str">
        <f t="shared" si="78"/>
        <v/>
      </c>
      <c r="AB162" s="19" t="str">
        <f t="shared" si="79"/>
        <v/>
      </c>
      <c r="AC162" s="126" t="str">
        <f>_xlfn.CONCAT(_xlfn.CONCAT(IF(I162="","",_xlfn.CONCAT("FT: ",I162,IF(J162="","","; "))),IF(B162&lt;Datenblatt!$B$9,"",IF(B162="","",IF(NOT(J162=""),SUBSTITUTE(SUBSTITUTE(SUBSTITUTE(J162," mR","")," oR","")," O",""),"")))),IF(AF162="","",_xlfn.CONCAT(CHAR(10),"; ",AF162)))</f>
        <v/>
      </c>
      <c r="AD162" s="124" t="str">
        <f t="shared" si="88"/>
        <v/>
      </c>
      <c r="AE162" s="19">
        <f t="shared" si="80"/>
        <v>0</v>
      </c>
      <c r="AF162" s="156"/>
    </row>
    <row r="163" spans="2:32" s="9" customFormat="1" ht="13">
      <c r="B163" s="6">
        <f t="shared" si="81"/>
        <v>44685</v>
      </c>
      <c r="C163" s="45">
        <f>SMALL(Daten!W:W,COUNTIF(Daten!W:W,"&lt;"&amp;Stundenaufzeichnung!B163+1))</f>
        <v>44578</v>
      </c>
      <c r="D163" s="45" t="str">
        <f t="shared" si="76"/>
        <v/>
      </c>
      <c r="E163" s="8">
        <f t="shared" si="77"/>
        <v>5</v>
      </c>
      <c r="F163" s="8">
        <f t="shared" si="82"/>
        <v>3</v>
      </c>
      <c r="G163" s="8">
        <f>IF(B163="","",VLOOKUP(E163,Datenblatt!$L$2:$N$8,3,FALSE))</f>
        <v>0</v>
      </c>
      <c r="H163" s="8" t="str">
        <f t="shared" si="83"/>
        <v/>
      </c>
      <c r="I163" s="11" t="str">
        <f>IFERROR(VLOOKUP(B163,Datenblatt!$E:$F,2,FALSE),"")</f>
        <v/>
      </c>
      <c r="J163" s="113"/>
      <c r="K163" s="19">
        <f>IF(B163&lt;Datenblatt!$B$9,"",IF(B163="","",IF(G163=0,Datenblatt!$B$7,"")))</f>
        <v>6.67</v>
      </c>
      <c r="L163" s="19" t="str">
        <f t="shared" si="84"/>
        <v/>
      </c>
      <c r="M163" s="124" t="str">
        <f t="shared" si="85"/>
        <v/>
      </c>
      <c r="N163" s="124" t="str">
        <f>IF(AND(L163=Datenblatt!$B$7,NOT(L162=Datenblatt!$B$7),NOT(L164=Datenblatt!$B$7)),"y",IF(AND(L163=Datenblatt!$B$7,L164=Datenblatt!$B$7,NOT(L162=Datenblatt!$B$7)),"a",IF(AND(L163=Datenblatt!$B$7,L162=Datenblatt!$B$7,NOT(L164=Datenblatt!$B$7)),"b","")))</f>
        <v/>
      </c>
      <c r="O163" s="19" t="str">
        <f t="shared" si="86"/>
        <v/>
      </c>
      <c r="P163" s="124" t="str">
        <f>IF(AND(M163=Datenblatt!$B$7,NOT(M162=Datenblatt!$B$7),NOT(M164=Datenblatt!$B$7)),"y",IF(AND(M163=Datenblatt!$B$7,M164=Datenblatt!$B$7,NOT(M162=Datenblatt!$B$7)),"a",IF(AND(M163=Datenblatt!$B$7,M162=Datenblatt!$B$7,NOT(M164=Datenblatt!$B$7)),"b","")))</f>
        <v/>
      </c>
      <c r="Q163" s="19" t="str">
        <f t="shared" si="87"/>
        <v/>
      </c>
      <c r="R163" s="124" t="str">
        <f>IF(I163="","",IF(AND(OR(J163="Krankenstand",J163="Urlaub",J163=""), AND(G163=0,NOT(I163=""))),Datenblatt!$B$7,""))</f>
        <v/>
      </c>
      <c r="S163" s="19" t="str">
        <f>IF(OR(J163="Krankenstand",J163="Urlaub"),"",IF(J163="","",VLOOKUP(D163,Dienste!C:W,21,)))</f>
        <v/>
      </c>
      <c r="T163" s="18" t="str">
        <f>IF(OR(J163="Krankenstand",J163="Urlaub"),"",IF(J163="","",VLOOKUP(D163,Dienste!C:W,5,)))</f>
        <v/>
      </c>
      <c r="U163" s="18" t="str">
        <f>IF(OR(J163="Krankenstand",J163="Urlaub"),"",IF(J163="","",VLOOKUP(D163,Dienste!C:W,6,)))</f>
        <v/>
      </c>
      <c r="V163" s="18" t="str">
        <f>IF(OR(J163="Krankenstand",J163="Urlaub"),"",IF(J163="","",VLOOKUP(D163,Dienste!C:W,7,)))</f>
        <v/>
      </c>
      <c r="W163" s="18" t="str">
        <f>IF(OR(J163="Krankenstand",J163="Urlaub"),"",IF(J163="","",VLOOKUP(D163,Dienste!C:W,11,)))</f>
        <v/>
      </c>
      <c r="X163" s="18" t="str">
        <f>IF(OR(J163="Krankenstand",J163="Urlaub"),"",IF(J163="","",VLOOKUP(D163,Dienste!C:W,12,)))</f>
        <v/>
      </c>
      <c r="Y163" s="19" t="str">
        <f>IF(OR(J163="Krankenstand",J163="Urlaub"),"",IF(J163="","",VLOOKUP(D163,Dienste!C:W,14,)))</f>
        <v/>
      </c>
      <c r="Z163" s="20" t="str">
        <f>IF(OR(J163="Krankenstand",J163="Urlaub"),"",IF(J163="","",VLOOKUP(D163,Dienste!C:W,15,)))</f>
        <v/>
      </c>
      <c r="AA163" s="124" t="str">
        <f t="shared" si="78"/>
        <v/>
      </c>
      <c r="AB163" s="19" t="str">
        <f t="shared" si="79"/>
        <v/>
      </c>
      <c r="AC163" s="126" t="str">
        <f>_xlfn.CONCAT(_xlfn.CONCAT(IF(I163="","",_xlfn.CONCAT("FT: ",I163,IF(J163="","","; "))),IF(B163&lt;Datenblatt!$B$9,"",IF(B163="","",IF(NOT(J163=""),SUBSTITUTE(SUBSTITUTE(SUBSTITUTE(J163," mR","")," oR","")," O",""),"")))),IF(AF163="","",_xlfn.CONCAT(CHAR(10),"; ",AF163)))</f>
        <v/>
      </c>
      <c r="AD163" s="124" t="str">
        <f t="shared" si="88"/>
        <v/>
      </c>
      <c r="AE163" s="19">
        <f t="shared" si="80"/>
        <v>0</v>
      </c>
      <c r="AF163" s="156"/>
    </row>
    <row r="164" spans="2:32" s="9" customFormat="1" ht="13">
      <c r="B164" s="6">
        <f t="shared" si="81"/>
        <v>44686</v>
      </c>
      <c r="C164" s="45">
        <f>SMALL(Daten!W:W,COUNTIF(Daten!W:W,"&lt;"&amp;Stundenaufzeichnung!B164+1))</f>
        <v>44578</v>
      </c>
      <c r="D164" s="45" t="str">
        <f t="shared" si="76"/>
        <v/>
      </c>
      <c r="E164" s="8">
        <f t="shared" si="77"/>
        <v>6</v>
      </c>
      <c r="F164" s="8">
        <f t="shared" si="82"/>
        <v>4</v>
      </c>
      <c r="G164" s="8">
        <f>IF(B164="","",VLOOKUP(E164,Datenblatt!$L$2:$N$8,3,FALSE))</f>
        <v>0</v>
      </c>
      <c r="H164" s="8" t="str">
        <f t="shared" si="83"/>
        <v/>
      </c>
      <c r="I164" s="11" t="str">
        <f>IFERROR(VLOOKUP(B164,Datenblatt!$E:$F,2,FALSE),"")</f>
        <v/>
      </c>
      <c r="J164" s="113"/>
      <c r="K164" s="19">
        <f>IF(B164&lt;Datenblatt!$B$9,"",IF(B164="","",IF(G164=0,Datenblatt!$B$7,"")))</f>
        <v>6.67</v>
      </c>
      <c r="L164" s="19" t="str">
        <f t="shared" si="84"/>
        <v/>
      </c>
      <c r="M164" s="124" t="str">
        <f t="shared" si="85"/>
        <v/>
      </c>
      <c r="N164" s="124" t="str">
        <f>IF(AND(L164=Datenblatt!$B$7,NOT(L163=Datenblatt!$B$7),NOT(L165=Datenblatt!$B$7)),"y",IF(AND(L164=Datenblatt!$B$7,L165=Datenblatt!$B$7,NOT(L163=Datenblatt!$B$7)),"a",IF(AND(L164=Datenblatt!$B$7,L163=Datenblatt!$B$7,NOT(L165=Datenblatt!$B$7)),"b","")))</f>
        <v/>
      </c>
      <c r="O164" s="19" t="str">
        <f t="shared" si="86"/>
        <v/>
      </c>
      <c r="P164" s="124" t="str">
        <f>IF(AND(M164=Datenblatt!$B$7,NOT(M163=Datenblatt!$B$7),NOT(M165=Datenblatt!$B$7)),"y",IF(AND(M164=Datenblatt!$B$7,M165=Datenblatt!$B$7,NOT(M163=Datenblatt!$B$7)),"a",IF(AND(M164=Datenblatt!$B$7,M163=Datenblatt!$B$7,NOT(M165=Datenblatt!$B$7)),"b","")))</f>
        <v/>
      </c>
      <c r="Q164" s="19" t="str">
        <f t="shared" si="87"/>
        <v/>
      </c>
      <c r="R164" s="124" t="str">
        <f>IF(I164="","",IF(AND(OR(J164="Krankenstand",J164="Urlaub",J164=""), AND(G164=0,NOT(I164=""))),Datenblatt!$B$7,""))</f>
        <v/>
      </c>
      <c r="S164" s="19" t="str">
        <f>IF(OR(J164="Krankenstand",J164="Urlaub"),"",IF(J164="","",VLOOKUP(D164,Dienste!C:W,21,)))</f>
        <v/>
      </c>
      <c r="T164" s="18" t="str">
        <f>IF(OR(J164="Krankenstand",J164="Urlaub"),"",IF(J164="","",VLOOKUP(D164,Dienste!C:W,5,)))</f>
        <v/>
      </c>
      <c r="U164" s="18" t="str">
        <f>IF(OR(J164="Krankenstand",J164="Urlaub"),"",IF(J164="","",VLOOKUP(D164,Dienste!C:W,6,)))</f>
        <v/>
      </c>
      <c r="V164" s="18" t="str">
        <f>IF(OR(J164="Krankenstand",J164="Urlaub"),"",IF(J164="","",VLOOKUP(D164,Dienste!C:W,7,)))</f>
        <v/>
      </c>
      <c r="W164" s="18" t="str">
        <f>IF(OR(J164="Krankenstand",J164="Urlaub"),"",IF(J164="","",VLOOKUP(D164,Dienste!C:W,11,)))</f>
        <v/>
      </c>
      <c r="X164" s="18" t="str">
        <f>IF(OR(J164="Krankenstand",J164="Urlaub"),"",IF(J164="","",VLOOKUP(D164,Dienste!C:W,12,)))</f>
        <v/>
      </c>
      <c r="Y164" s="19" t="str">
        <f>IF(OR(J164="Krankenstand",J164="Urlaub"),"",IF(J164="","",VLOOKUP(D164,Dienste!C:W,14,)))</f>
        <v/>
      </c>
      <c r="Z164" s="20" t="str">
        <f>IF(OR(J164="Krankenstand",J164="Urlaub"),"",IF(J164="","",VLOOKUP(D164,Dienste!C:W,15,)))</f>
        <v/>
      </c>
      <c r="AA164" s="124" t="str">
        <f t="shared" si="78"/>
        <v/>
      </c>
      <c r="AB164" s="19" t="str">
        <f t="shared" si="79"/>
        <v/>
      </c>
      <c r="AC164" s="126" t="str">
        <f>_xlfn.CONCAT(_xlfn.CONCAT(IF(I164="","",_xlfn.CONCAT("FT: ",I164,IF(J164="","","; "))),IF(B164&lt;Datenblatt!$B$9,"",IF(B164="","",IF(NOT(J164=""),SUBSTITUTE(SUBSTITUTE(SUBSTITUTE(J164," mR","")," oR","")," O",""),"")))),IF(AF164="","",_xlfn.CONCAT(CHAR(10),"; ",AF164)))</f>
        <v/>
      </c>
      <c r="AD164" s="124" t="str">
        <f t="shared" si="88"/>
        <v/>
      </c>
      <c r="AE164" s="19">
        <f t="shared" si="80"/>
        <v>0</v>
      </c>
      <c r="AF164" s="156"/>
    </row>
    <row r="165" spans="2:32" s="9" customFormat="1" ht="13">
      <c r="B165" s="6">
        <f t="shared" si="81"/>
        <v>44687</v>
      </c>
      <c r="C165" s="45">
        <f>SMALL(Daten!W:W,COUNTIF(Daten!W:W,"&lt;"&amp;Stundenaufzeichnung!B165+1))</f>
        <v>44578</v>
      </c>
      <c r="D165" s="45" t="str">
        <f t="shared" si="76"/>
        <v/>
      </c>
      <c r="E165" s="8">
        <f t="shared" si="77"/>
        <v>7</v>
      </c>
      <c r="F165" s="8">
        <f t="shared" si="82"/>
        <v>5</v>
      </c>
      <c r="G165" s="8">
        <f>IF(B165="","",VLOOKUP(E165,Datenblatt!$L$2:$N$8,3,FALSE))</f>
        <v>0</v>
      </c>
      <c r="H165" s="8" t="str">
        <f t="shared" si="83"/>
        <v/>
      </c>
      <c r="I165" s="11" t="str">
        <f>IFERROR(VLOOKUP(B165,Datenblatt!$E:$F,2,FALSE),"")</f>
        <v/>
      </c>
      <c r="J165" s="113"/>
      <c r="K165" s="19">
        <f>IF(B165&lt;Datenblatt!$B$9,"",IF(B165="","",IF(G165=0,Datenblatt!$B$7,"")))</f>
        <v>6.67</v>
      </c>
      <c r="L165" s="19" t="str">
        <f t="shared" si="84"/>
        <v/>
      </c>
      <c r="M165" s="124" t="str">
        <f t="shared" si="85"/>
        <v/>
      </c>
      <c r="N165" s="124" t="str">
        <f>IF(AND(L165=Datenblatt!$B$7,NOT(L164=Datenblatt!$B$7),NOT(L166=Datenblatt!$B$7)),"y",IF(AND(L165=Datenblatt!$B$7,L166=Datenblatt!$B$7,NOT(L164=Datenblatt!$B$7)),"a",IF(AND(L165=Datenblatt!$B$7,L164=Datenblatt!$B$7,NOT(L166=Datenblatt!$B$7)),"b","")))</f>
        <v/>
      </c>
      <c r="O165" s="19" t="str">
        <f t="shared" si="86"/>
        <v/>
      </c>
      <c r="P165" s="124" t="str">
        <f>IF(AND(M165=Datenblatt!$B$7,NOT(M164=Datenblatt!$B$7),NOT(M166=Datenblatt!$B$7)),"y",IF(AND(M165=Datenblatt!$B$7,M166=Datenblatt!$B$7,NOT(M164=Datenblatt!$B$7)),"a",IF(AND(M165=Datenblatt!$B$7,M164=Datenblatt!$B$7,NOT(M166=Datenblatt!$B$7)),"b","")))</f>
        <v/>
      </c>
      <c r="Q165" s="19" t="str">
        <f t="shared" si="87"/>
        <v/>
      </c>
      <c r="R165" s="124" t="str">
        <f>IF(I165="","",IF(AND(OR(J165="Krankenstand",J165="Urlaub",J165=""), AND(G165=0,NOT(I165=""))),Datenblatt!$B$7,""))</f>
        <v/>
      </c>
      <c r="S165" s="19" t="str">
        <f>IF(OR(J165="Krankenstand",J165="Urlaub"),"",IF(J165="","",VLOOKUP(D165,Dienste!C:W,21,)))</f>
        <v/>
      </c>
      <c r="T165" s="18" t="str">
        <f>IF(OR(J165="Krankenstand",J165="Urlaub"),"",IF(J165="","",VLOOKUP(D165,Dienste!C:W,5,)))</f>
        <v/>
      </c>
      <c r="U165" s="18" t="str">
        <f>IF(OR(J165="Krankenstand",J165="Urlaub"),"",IF(J165="","",VLOOKUP(D165,Dienste!C:W,6,)))</f>
        <v/>
      </c>
      <c r="V165" s="18" t="str">
        <f>IF(OR(J165="Krankenstand",J165="Urlaub"),"",IF(J165="","",VLOOKUP(D165,Dienste!C:W,7,)))</f>
        <v/>
      </c>
      <c r="W165" s="18" t="str">
        <f>IF(OR(J165="Krankenstand",J165="Urlaub"),"",IF(J165="","",VLOOKUP(D165,Dienste!C:W,11,)))</f>
        <v/>
      </c>
      <c r="X165" s="18" t="str">
        <f>IF(OR(J165="Krankenstand",J165="Urlaub"),"",IF(J165="","",VLOOKUP(D165,Dienste!C:W,12,)))</f>
        <v/>
      </c>
      <c r="Y165" s="19" t="str">
        <f>IF(OR(J165="Krankenstand",J165="Urlaub"),"",IF(J165="","",VLOOKUP(D165,Dienste!C:W,14,)))</f>
        <v/>
      </c>
      <c r="Z165" s="20" t="str">
        <f>IF(OR(J165="Krankenstand",J165="Urlaub"),"",IF(J165="","",VLOOKUP(D165,Dienste!C:W,15,)))</f>
        <v/>
      </c>
      <c r="AA165" s="124" t="str">
        <f t="shared" si="78"/>
        <v/>
      </c>
      <c r="AB165" s="19" t="str">
        <f t="shared" si="79"/>
        <v/>
      </c>
      <c r="AC165" s="126" t="str">
        <f>_xlfn.CONCAT(_xlfn.CONCAT(IF(I165="","",_xlfn.CONCAT("FT: ",I165,IF(J165="","","; "))),IF(B165&lt;Datenblatt!$B$9,"",IF(B165="","",IF(NOT(J165=""),SUBSTITUTE(SUBSTITUTE(SUBSTITUTE(J165," mR","")," oR","")," O",""),"")))),IF(AF165="","",_xlfn.CONCAT(CHAR(10),"; ",AF165)))</f>
        <v/>
      </c>
      <c r="AD165" s="124" t="str">
        <f t="shared" si="88"/>
        <v/>
      </c>
      <c r="AE165" s="19">
        <f t="shared" si="80"/>
        <v>0</v>
      </c>
      <c r="AF165" s="156"/>
    </row>
    <row r="166" spans="2:32" s="9" customFormat="1" ht="13">
      <c r="B166" s="6">
        <f t="shared" si="81"/>
        <v>44688</v>
      </c>
      <c r="C166" s="45">
        <f>SMALL(Daten!W:W,COUNTIF(Daten!W:W,"&lt;"&amp;Stundenaufzeichnung!B166+1))</f>
        <v>44578</v>
      </c>
      <c r="D166" s="45" t="str">
        <f t="shared" si="76"/>
        <v/>
      </c>
      <c r="E166" s="8">
        <f t="shared" si="77"/>
        <v>1</v>
      </c>
      <c r="F166" s="8">
        <f t="shared" si="82"/>
        <v>6</v>
      </c>
      <c r="G166" s="8">
        <f>IF(B166="","",VLOOKUP(E166,Datenblatt!$L$2:$N$8,3,FALSE))</f>
        <v>0</v>
      </c>
      <c r="H166" s="8" t="str">
        <f t="shared" si="83"/>
        <v/>
      </c>
      <c r="I166" s="11" t="str">
        <f>IFERROR(VLOOKUP(B166,Datenblatt!$E:$F,2,FALSE),"")</f>
        <v/>
      </c>
      <c r="J166" s="113"/>
      <c r="K166" s="19">
        <f>IF(B166&lt;Datenblatt!$B$9,"",IF(B166="","",IF(G166=0,Datenblatt!$B$7,"")))</f>
        <v>6.67</v>
      </c>
      <c r="L166" s="19" t="str">
        <f t="shared" si="84"/>
        <v/>
      </c>
      <c r="M166" s="124" t="str">
        <f t="shared" si="85"/>
        <v/>
      </c>
      <c r="N166" s="124" t="str">
        <f>IF(AND(L166=Datenblatt!$B$7,NOT(L165=Datenblatt!$B$7),NOT(L167=Datenblatt!$B$7)),"y",IF(AND(L166=Datenblatt!$B$7,L167=Datenblatt!$B$7,NOT(L165=Datenblatt!$B$7)),"a",IF(AND(L166=Datenblatt!$B$7,L165=Datenblatt!$B$7,NOT(L167=Datenblatt!$B$7)),"b","")))</f>
        <v/>
      </c>
      <c r="O166" s="19" t="str">
        <f t="shared" si="86"/>
        <v/>
      </c>
      <c r="P166" s="124" t="str">
        <f>IF(AND(M166=Datenblatt!$B$7,NOT(M165=Datenblatt!$B$7),NOT(M167=Datenblatt!$B$7)),"y",IF(AND(M166=Datenblatt!$B$7,M167=Datenblatt!$B$7,NOT(M165=Datenblatt!$B$7)),"a",IF(AND(M166=Datenblatt!$B$7,M165=Datenblatt!$B$7,NOT(M167=Datenblatt!$B$7)),"b","")))</f>
        <v/>
      </c>
      <c r="Q166" s="19" t="str">
        <f t="shared" si="87"/>
        <v/>
      </c>
      <c r="R166" s="124" t="str">
        <f>IF(I166="","",IF(AND(OR(J166="Krankenstand",J166="Urlaub",J166=""), AND(G166=0,NOT(I166=""))),Datenblatt!$B$7,""))</f>
        <v/>
      </c>
      <c r="S166" s="19" t="str">
        <f>IF(OR(J166="Krankenstand",J166="Urlaub"),"",IF(J166="","",VLOOKUP(D166,Dienste!C:W,21,)))</f>
        <v/>
      </c>
      <c r="T166" s="18" t="str">
        <f>IF(OR(J166="Krankenstand",J166="Urlaub"),"",IF(J166="","",VLOOKUP(D166,Dienste!C:W,5,)))</f>
        <v/>
      </c>
      <c r="U166" s="18" t="str">
        <f>IF(OR(J166="Krankenstand",J166="Urlaub"),"",IF(J166="","",VLOOKUP(D166,Dienste!C:W,6,)))</f>
        <v/>
      </c>
      <c r="V166" s="18" t="str">
        <f>IF(OR(J166="Krankenstand",J166="Urlaub"),"",IF(J166="","",VLOOKUP(D166,Dienste!C:W,7,)))</f>
        <v/>
      </c>
      <c r="W166" s="18" t="str">
        <f>IF(OR(J166="Krankenstand",J166="Urlaub"),"",IF(J166="","",VLOOKUP(D166,Dienste!C:W,11,)))</f>
        <v/>
      </c>
      <c r="X166" s="18" t="str">
        <f>IF(OR(J166="Krankenstand",J166="Urlaub"),"",IF(J166="","",VLOOKUP(D166,Dienste!C:W,12,)))</f>
        <v/>
      </c>
      <c r="Y166" s="19" t="str">
        <f>IF(OR(J166="Krankenstand",J166="Urlaub"),"",IF(J166="","",VLOOKUP(D166,Dienste!C:W,14,)))</f>
        <v/>
      </c>
      <c r="Z166" s="20" t="str">
        <f>IF(OR(J166="Krankenstand",J166="Urlaub"),"",IF(J166="","",VLOOKUP(D166,Dienste!C:W,15,)))</f>
        <v/>
      </c>
      <c r="AA166" s="124" t="str">
        <f t="shared" si="78"/>
        <v/>
      </c>
      <c r="AB166" s="19" t="str">
        <f t="shared" si="79"/>
        <v/>
      </c>
      <c r="AC166" s="126" t="str">
        <f>_xlfn.CONCAT(_xlfn.CONCAT(IF(I166="","",_xlfn.CONCAT("FT: ",I166,IF(J166="","","; "))),IF(B166&lt;Datenblatt!$B$9,"",IF(B166="","",IF(NOT(J166=""),SUBSTITUTE(SUBSTITUTE(SUBSTITUTE(J166," mR","")," oR","")," O",""),"")))),IF(AF166="","",_xlfn.CONCAT(CHAR(10),"; ",AF166)))</f>
        <v/>
      </c>
      <c r="AD166" s="124" t="str">
        <f t="shared" si="88"/>
        <v/>
      </c>
      <c r="AE166" s="19">
        <f t="shared" si="80"/>
        <v>0</v>
      </c>
      <c r="AF166" s="156"/>
    </row>
    <row r="167" spans="2:32" s="9" customFormat="1" ht="13">
      <c r="B167" s="6">
        <f t="shared" si="81"/>
        <v>44689</v>
      </c>
      <c r="C167" s="45">
        <f>SMALL(Daten!W:W,COUNTIF(Daten!W:W,"&lt;"&amp;Stundenaufzeichnung!B167+1))</f>
        <v>44578</v>
      </c>
      <c r="D167" s="45" t="str">
        <f t="shared" si="76"/>
        <v/>
      </c>
      <c r="E167" s="8">
        <f t="shared" si="77"/>
        <v>2</v>
      </c>
      <c r="F167" s="8">
        <f t="shared" si="82"/>
        <v>7</v>
      </c>
      <c r="G167" s="8">
        <f>IF(B167="","",VLOOKUP(E167,Datenblatt!$L$2:$N$8,3,FALSE))</f>
        <v>1</v>
      </c>
      <c r="H167" s="8" t="str">
        <f t="shared" si="83"/>
        <v>x</v>
      </c>
      <c r="I167" s="11" t="str">
        <f>IFERROR(VLOOKUP(B167,Datenblatt!$E:$F,2,FALSE),"")</f>
        <v/>
      </c>
      <c r="J167" s="113"/>
      <c r="K167" s="19" t="str">
        <f>IF(B167&lt;Datenblatt!$B$9,"",IF(B167="","",IF(G167=0,Datenblatt!$B$7,"")))</f>
        <v/>
      </c>
      <c r="L167" s="19" t="str">
        <f t="shared" si="84"/>
        <v/>
      </c>
      <c r="M167" s="124" t="str">
        <f t="shared" si="85"/>
        <v/>
      </c>
      <c r="N167" s="124" t="str">
        <f>IF(AND(L167=Datenblatt!$B$7,NOT(L166=Datenblatt!$B$7),NOT(L168=Datenblatt!$B$7)),"y",IF(AND(L167=Datenblatt!$B$7,L168=Datenblatt!$B$7,NOT(L166=Datenblatt!$B$7)),"a",IF(AND(L167=Datenblatt!$B$7,L166=Datenblatt!$B$7,NOT(L168=Datenblatt!$B$7)),"b","")))</f>
        <v/>
      </c>
      <c r="O167" s="19" t="str">
        <f t="shared" si="86"/>
        <v/>
      </c>
      <c r="P167" s="124" t="str">
        <f>IF(AND(M167=Datenblatt!$B$7,NOT(M166=Datenblatt!$B$7),NOT(M168=Datenblatt!$B$7)),"y",IF(AND(M167=Datenblatt!$B$7,M168=Datenblatt!$B$7,NOT(M166=Datenblatt!$B$7)),"a",IF(AND(M167=Datenblatt!$B$7,M166=Datenblatt!$B$7,NOT(M168=Datenblatt!$B$7)),"b","")))</f>
        <v/>
      </c>
      <c r="Q167" s="19" t="str">
        <f t="shared" si="87"/>
        <v/>
      </c>
      <c r="R167" s="124" t="str">
        <f>IF(I167="","",IF(AND(OR(J167="Krankenstand",J167="Urlaub",J167=""), AND(G167=0,NOT(I167=""))),Datenblatt!$B$7,""))</f>
        <v/>
      </c>
      <c r="S167" s="19" t="str">
        <f>IF(OR(J167="Krankenstand",J167="Urlaub"),"",IF(J167="","",VLOOKUP(D167,Dienste!C:W,21,)))</f>
        <v/>
      </c>
      <c r="T167" s="18" t="str">
        <f>IF(OR(J167="Krankenstand",J167="Urlaub"),"",IF(J167="","",VLOOKUP(D167,Dienste!C:W,5,)))</f>
        <v/>
      </c>
      <c r="U167" s="18" t="str">
        <f>IF(OR(J167="Krankenstand",J167="Urlaub"),"",IF(J167="","",VLOOKUP(D167,Dienste!C:W,6,)))</f>
        <v/>
      </c>
      <c r="V167" s="18" t="str">
        <f>IF(OR(J167="Krankenstand",J167="Urlaub"),"",IF(J167="","",VLOOKUP(D167,Dienste!C:W,7,)))</f>
        <v/>
      </c>
      <c r="W167" s="18" t="str">
        <f>IF(OR(J167="Krankenstand",J167="Urlaub"),"",IF(J167="","",VLOOKUP(D167,Dienste!C:W,11,)))</f>
        <v/>
      </c>
      <c r="X167" s="18" t="str">
        <f>IF(OR(J167="Krankenstand",J167="Urlaub"),"",IF(J167="","",VLOOKUP(D167,Dienste!C:W,12,)))</f>
        <v/>
      </c>
      <c r="Y167" s="19" t="str">
        <f>IF(OR(J167="Krankenstand",J167="Urlaub"),"",IF(J167="","",VLOOKUP(D167,Dienste!C:W,14,)))</f>
        <v/>
      </c>
      <c r="Z167" s="20" t="str">
        <f>IF(OR(J167="Krankenstand",J167="Urlaub"),"",IF(J167="","",VLOOKUP(D167,Dienste!C:W,15,)))</f>
        <v/>
      </c>
      <c r="AA167" s="124" t="str">
        <f t="shared" si="78"/>
        <v/>
      </c>
      <c r="AB167" s="19" t="str">
        <f t="shared" si="79"/>
        <v/>
      </c>
      <c r="AC167" s="126" t="str">
        <f>_xlfn.CONCAT(_xlfn.CONCAT(IF(I167="","",_xlfn.CONCAT("FT: ",I167,IF(J167="","","; "))),IF(B167&lt;Datenblatt!$B$9,"",IF(B167="","",IF(NOT(J167=""),SUBSTITUTE(SUBSTITUTE(SUBSTITUTE(J167," mR","")," oR","")," O",""),"")))),IF(AF167="","",_xlfn.CONCAT(CHAR(10),"; ",AF167)))</f>
        <v/>
      </c>
      <c r="AD167" s="124" t="str">
        <f t="shared" si="88"/>
        <v/>
      </c>
      <c r="AE167" s="19">
        <f t="shared" si="80"/>
        <v>0</v>
      </c>
      <c r="AF167" s="156"/>
    </row>
    <row r="168" spans="2:32" s="9" customFormat="1" ht="13">
      <c r="B168" s="6">
        <f t="shared" si="81"/>
        <v>44690</v>
      </c>
      <c r="C168" s="45">
        <f>SMALL(Daten!W:W,COUNTIF(Daten!W:W,"&lt;"&amp;Stundenaufzeichnung!B168+1))</f>
        <v>44578</v>
      </c>
      <c r="D168" s="45" t="str">
        <f t="shared" si="76"/>
        <v/>
      </c>
      <c r="E168" s="8">
        <f t="shared" si="77"/>
        <v>3</v>
      </c>
      <c r="F168" s="8">
        <f t="shared" si="82"/>
        <v>1</v>
      </c>
      <c r="G168" s="8">
        <f>IF(B168="","",VLOOKUP(E168,Datenblatt!$L$2:$N$8,3,FALSE))</f>
        <v>0</v>
      </c>
      <c r="H168" s="8" t="str">
        <f t="shared" si="83"/>
        <v/>
      </c>
      <c r="I168" s="11" t="str">
        <f>IFERROR(VLOOKUP(B168,Datenblatt!$E:$F,2,FALSE),"")</f>
        <v/>
      </c>
      <c r="J168" s="113"/>
      <c r="K168" s="19">
        <f>IF(B168&lt;Datenblatt!$B$9,"",IF(B168="","",IF(G168=0,Datenblatt!$B$7,"")))</f>
        <v>6.67</v>
      </c>
      <c r="L168" s="19" t="str">
        <f t="shared" si="84"/>
        <v/>
      </c>
      <c r="M168" s="124" t="str">
        <f t="shared" si="85"/>
        <v/>
      </c>
      <c r="N168" s="124" t="str">
        <f>IF(AND(L168=Datenblatt!$B$7,NOT(L167=Datenblatt!$B$7),NOT(L169=Datenblatt!$B$7)),"y",IF(AND(L168=Datenblatt!$B$7,L169=Datenblatt!$B$7,NOT(L167=Datenblatt!$B$7)),"a",IF(AND(L168=Datenblatt!$B$7,L167=Datenblatt!$B$7,NOT(L169=Datenblatt!$B$7)),"b","")))</f>
        <v/>
      </c>
      <c r="O168" s="19" t="str">
        <f t="shared" si="86"/>
        <v/>
      </c>
      <c r="P168" s="124" t="str">
        <f>IF(AND(M168=Datenblatt!$B$7,NOT(M167=Datenblatt!$B$7),NOT(M169=Datenblatt!$B$7)),"y",IF(AND(M168=Datenblatt!$B$7,M169=Datenblatt!$B$7,NOT(M167=Datenblatt!$B$7)),"a",IF(AND(M168=Datenblatt!$B$7,M167=Datenblatt!$B$7,NOT(M169=Datenblatt!$B$7)),"b","")))</f>
        <v/>
      </c>
      <c r="Q168" s="19" t="str">
        <f t="shared" si="87"/>
        <v/>
      </c>
      <c r="R168" s="124" t="str">
        <f>IF(I168="","",IF(AND(OR(J168="Krankenstand",J168="Urlaub",J168=""), AND(G168=0,NOT(I168=""))),Datenblatt!$B$7,""))</f>
        <v/>
      </c>
      <c r="S168" s="19" t="str">
        <f>IF(OR(J168="Krankenstand",J168="Urlaub"),"",IF(J168="","",VLOOKUP(D168,Dienste!C:W,21,)))</f>
        <v/>
      </c>
      <c r="T168" s="18" t="str">
        <f>IF(OR(J168="Krankenstand",J168="Urlaub"),"",IF(J168="","",VLOOKUP(D168,Dienste!C:W,5,)))</f>
        <v/>
      </c>
      <c r="U168" s="18" t="str">
        <f>IF(OR(J168="Krankenstand",J168="Urlaub"),"",IF(J168="","",VLOOKUP(D168,Dienste!C:W,6,)))</f>
        <v/>
      </c>
      <c r="V168" s="18" t="str">
        <f>IF(OR(J168="Krankenstand",J168="Urlaub"),"",IF(J168="","",VLOOKUP(D168,Dienste!C:W,7,)))</f>
        <v/>
      </c>
      <c r="W168" s="18" t="str">
        <f>IF(OR(J168="Krankenstand",J168="Urlaub"),"",IF(J168="","",VLOOKUP(D168,Dienste!C:W,11,)))</f>
        <v/>
      </c>
      <c r="X168" s="18" t="str">
        <f>IF(OR(J168="Krankenstand",J168="Urlaub"),"",IF(J168="","",VLOOKUP(D168,Dienste!C:W,12,)))</f>
        <v/>
      </c>
      <c r="Y168" s="19" t="str">
        <f>IF(OR(J168="Krankenstand",J168="Urlaub"),"",IF(J168="","",VLOOKUP(D168,Dienste!C:W,14,)))</f>
        <v/>
      </c>
      <c r="Z168" s="20" t="str">
        <f>IF(OR(J168="Krankenstand",J168="Urlaub"),"",IF(J168="","",VLOOKUP(D168,Dienste!C:W,15,)))</f>
        <v/>
      </c>
      <c r="AA168" s="124" t="str">
        <f t="shared" si="78"/>
        <v/>
      </c>
      <c r="AB168" s="19" t="str">
        <f t="shared" si="79"/>
        <v/>
      </c>
      <c r="AC168" s="126" t="str">
        <f>_xlfn.CONCAT(_xlfn.CONCAT(IF(I168="","",_xlfn.CONCAT("FT: ",I168,IF(J168="","","; "))),IF(B168&lt;Datenblatt!$B$9,"",IF(B168="","",IF(NOT(J168=""),SUBSTITUTE(SUBSTITUTE(SUBSTITUTE(J168," mR","")," oR","")," O",""),"")))),IF(AF168="","",_xlfn.CONCAT(CHAR(10),"; ",AF168)))</f>
        <v/>
      </c>
      <c r="AD168" s="124" t="str">
        <f t="shared" si="88"/>
        <v/>
      </c>
      <c r="AE168" s="19">
        <f t="shared" si="80"/>
        <v>0</v>
      </c>
      <c r="AF168" s="156"/>
    </row>
    <row r="169" spans="2:32" s="9" customFormat="1" ht="13">
      <c r="B169" s="6">
        <f t="shared" si="81"/>
        <v>44691</v>
      </c>
      <c r="C169" s="45">
        <f>SMALL(Daten!W:W,COUNTIF(Daten!W:W,"&lt;"&amp;Stundenaufzeichnung!B169+1))</f>
        <v>44578</v>
      </c>
      <c r="D169" s="45" t="str">
        <f t="shared" si="76"/>
        <v/>
      </c>
      <c r="E169" s="8">
        <f t="shared" si="77"/>
        <v>4</v>
      </c>
      <c r="F169" s="8">
        <f t="shared" si="82"/>
        <v>2</v>
      </c>
      <c r="G169" s="8">
        <f>IF(B169="","",VLOOKUP(E169,Datenblatt!$L$2:$N$8,3,FALSE))</f>
        <v>0</v>
      </c>
      <c r="H169" s="8" t="str">
        <f t="shared" si="83"/>
        <v/>
      </c>
      <c r="I169" s="11" t="str">
        <f>IFERROR(VLOOKUP(B169,Datenblatt!$E:$F,2,FALSE),"")</f>
        <v/>
      </c>
      <c r="J169" s="113"/>
      <c r="K169" s="19">
        <f>IF(B169&lt;Datenblatt!$B$9,"",IF(B169="","",IF(G169=0,Datenblatt!$B$7,"")))</f>
        <v>6.67</v>
      </c>
      <c r="L169" s="19" t="str">
        <f t="shared" si="84"/>
        <v/>
      </c>
      <c r="M169" s="124" t="str">
        <f t="shared" si="85"/>
        <v/>
      </c>
      <c r="N169" s="124" t="str">
        <f>IF(AND(L169=Datenblatt!$B$7,NOT(L168=Datenblatt!$B$7),NOT(L170=Datenblatt!$B$7)),"y",IF(AND(L169=Datenblatt!$B$7,L170=Datenblatt!$B$7,NOT(L168=Datenblatt!$B$7)),"a",IF(AND(L169=Datenblatt!$B$7,L168=Datenblatt!$B$7,NOT(L170=Datenblatt!$B$7)),"b","")))</f>
        <v/>
      </c>
      <c r="O169" s="19" t="str">
        <f t="shared" si="86"/>
        <v/>
      </c>
      <c r="P169" s="124" t="str">
        <f>IF(AND(M169=Datenblatt!$B$7,NOT(M168=Datenblatt!$B$7),NOT(M170=Datenblatt!$B$7)),"y",IF(AND(M169=Datenblatt!$B$7,M170=Datenblatt!$B$7,NOT(M168=Datenblatt!$B$7)),"a",IF(AND(M169=Datenblatt!$B$7,M168=Datenblatt!$B$7,NOT(M170=Datenblatt!$B$7)),"b","")))</f>
        <v/>
      </c>
      <c r="Q169" s="19" t="str">
        <f t="shared" si="87"/>
        <v/>
      </c>
      <c r="R169" s="124" t="str">
        <f>IF(I169="","",IF(AND(OR(J169="Krankenstand",J169="Urlaub",J169=""), AND(G169=0,NOT(I169=""))),Datenblatt!$B$7,""))</f>
        <v/>
      </c>
      <c r="S169" s="19" t="str">
        <f>IF(OR(J169="Krankenstand",J169="Urlaub"),"",IF(J169="","",VLOOKUP(D169,Dienste!C:W,21,)))</f>
        <v/>
      </c>
      <c r="T169" s="18" t="str">
        <f>IF(OR(J169="Krankenstand",J169="Urlaub"),"",IF(J169="","",VLOOKUP(D169,Dienste!C:W,5,)))</f>
        <v/>
      </c>
      <c r="U169" s="18" t="str">
        <f>IF(OR(J169="Krankenstand",J169="Urlaub"),"",IF(J169="","",VLOOKUP(D169,Dienste!C:W,6,)))</f>
        <v/>
      </c>
      <c r="V169" s="18" t="str">
        <f>IF(OR(J169="Krankenstand",J169="Urlaub"),"",IF(J169="","",VLOOKUP(D169,Dienste!C:W,7,)))</f>
        <v/>
      </c>
      <c r="W169" s="18" t="str">
        <f>IF(OR(J169="Krankenstand",J169="Urlaub"),"",IF(J169="","",VLOOKUP(D169,Dienste!C:W,11,)))</f>
        <v/>
      </c>
      <c r="X169" s="18" t="str">
        <f>IF(OR(J169="Krankenstand",J169="Urlaub"),"",IF(J169="","",VLOOKUP(D169,Dienste!C:W,12,)))</f>
        <v/>
      </c>
      <c r="Y169" s="19" t="str">
        <f>IF(OR(J169="Krankenstand",J169="Urlaub"),"",IF(J169="","",VLOOKUP(D169,Dienste!C:W,14,)))</f>
        <v/>
      </c>
      <c r="Z169" s="20" t="str">
        <f>IF(OR(J169="Krankenstand",J169="Urlaub"),"",IF(J169="","",VLOOKUP(D169,Dienste!C:W,15,)))</f>
        <v/>
      </c>
      <c r="AA169" s="124" t="str">
        <f t="shared" si="78"/>
        <v/>
      </c>
      <c r="AB169" s="19" t="str">
        <f t="shared" si="79"/>
        <v/>
      </c>
      <c r="AC169" s="126" t="str">
        <f>_xlfn.CONCAT(_xlfn.CONCAT(IF(I169="","",_xlfn.CONCAT("FT: ",I169,IF(J169="","","; "))),IF(B169&lt;Datenblatt!$B$9,"",IF(B169="","",IF(NOT(J169=""),SUBSTITUTE(SUBSTITUTE(SUBSTITUTE(J169," mR","")," oR","")," O",""),"")))),IF(AF169="","",_xlfn.CONCAT(CHAR(10),"; ",AF169)))</f>
        <v/>
      </c>
      <c r="AD169" s="124" t="str">
        <f t="shared" si="88"/>
        <v/>
      </c>
      <c r="AE169" s="19">
        <f t="shared" si="80"/>
        <v>0</v>
      </c>
      <c r="AF169" s="156"/>
    </row>
    <row r="170" spans="2:32" s="9" customFormat="1" ht="13">
      <c r="B170" s="6">
        <f t="shared" si="81"/>
        <v>44692</v>
      </c>
      <c r="C170" s="45">
        <f>SMALL(Daten!W:W,COUNTIF(Daten!W:W,"&lt;"&amp;Stundenaufzeichnung!B170+1))</f>
        <v>44578</v>
      </c>
      <c r="D170" s="45" t="str">
        <f t="shared" si="76"/>
        <v/>
      </c>
      <c r="E170" s="8">
        <f t="shared" si="77"/>
        <v>5</v>
      </c>
      <c r="F170" s="8">
        <f t="shared" si="82"/>
        <v>3</v>
      </c>
      <c r="G170" s="8">
        <f>IF(B170="","",VLOOKUP(E170,Datenblatt!$L$2:$N$8,3,FALSE))</f>
        <v>0</v>
      </c>
      <c r="H170" s="8" t="str">
        <f t="shared" si="83"/>
        <v/>
      </c>
      <c r="I170" s="11" t="str">
        <f>IFERROR(VLOOKUP(B170,Datenblatt!$E:$F,2,FALSE),"")</f>
        <v/>
      </c>
      <c r="J170" s="113"/>
      <c r="K170" s="19">
        <f>IF(B170&lt;Datenblatt!$B$9,"",IF(B170="","",IF(G170=0,Datenblatt!$B$7,"")))</f>
        <v>6.67</v>
      </c>
      <c r="L170" s="19" t="str">
        <f t="shared" si="84"/>
        <v/>
      </c>
      <c r="M170" s="124" t="str">
        <f t="shared" si="85"/>
        <v/>
      </c>
      <c r="N170" s="124" t="str">
        <f>IF(AND(L170=Datenblatt!$B$7,NOT(L169=Datenblatt!$B$7),NOT(L171=Datenblatt!$B$7)),"y",IF(AND(L170=Datenblatt!$B$7,L171=Datenblatt!$B$7,NOT(L169=Datenblatt!$B$7)),"a",IF(AND(L170=Datenblatt!$B$7,L169=Datenblatt!$B$7,NOT(L171=Datenblatt!$B$7)),"b","")))</f>
        <v/>
      </c>
      <c r="O170" s="19" t="str">
        <f t="shared" si="86"/>
        <v/>
      </c>
      <c r="P170" s="124" t="str">
        <f>IF(AND(M170=Datenblatt!$B$7,NOT(M169=Datenblatt!$B$7),NOT(M171=Datenblatt!$B$7)),"y",IF(AND(M170=Datenblatt!$B$7,M171=Datenblatt!$B$7,NOT(M169=Datenblatt!$B$7)),"a",IF(AND(M170=Datenblatt!$B$7,M169=Datenblatt!$B$7,NOT(M171=Datenblatt!$B$7)),"b","")))</f>
        <v/>
      </c>
      <c r="Q170" s="19" t="str">
        <f t="shared" si="87"/>
        <v/>
      </c>
      <c r="R170" s="124" t="str">
        <f>IF(I170="","",IF(AND(OR(J170="Krankenstand",J170="Urlaub",J170=""), AND(G170=0,NOT(I170=""))),Datenblatt!$B$7,""))</f>
        <v/>
      </c>
      <c r="S170" s="19" t="str">
        <f>IF(OR(J170="Krankenstand",J170="Urlaub"),"",IF(J170="","",VLOOKUP(D170,Dienste!C:W,21,)))</f>
        <v/>
      </c>
      <c r="T170" s="18" t="str">
        <f>IF(OR(J170="Krankenstand",J170="Urlaub"),"",IF(J170="","",VLOOKUP(D170,Dienste!C:W,5,)))</f>
        <v/>
      </c>
      <c r="U170" s="18" t="str">
        <f>IF(OR(J170="Krankenstand",J170="Urlaub"),"",IF(J170="","",VLOOKUP(D170,Dienste!C:W,6,)))</f>
        <v/>
      </c>
      <c r="V170" s="18" t="str">
        <f>IF(OR(J170="Krankenstand",J170="Urlaub"),"",IF(J170="","",VLOOKUP(D170,Dienste!C:W,7,)))</f>
        <v/>
      </c>
      <c r="W170" s="18" t="str">
        <f>IF(OR(J170="Krankenstand",J170="Urlaub"),"",IF(J170="","",VLOOKUP(D170,Dienste!C:W,11,)))</f>
        <v/>
      </c>
      <c r="X170" s="18" t="str">
        <f>IF(OR(J170="Krankenstand",J170="Urlaub"),"",IF(J170="","",VLOOKUP(D170,Dienste!C:W,12,)))</f>
        <v/>
      </c>
      <c r="Y170" s="19" t="str">
        <f>IF(OR(J170="Krankenstand",J170="Urlaub"),"",IF(J170="","",VLOOKUP(D170,Dienste!C:W,14,)))</f>
        <v/>
      </c>
      <c r="Z170" s="20" t="str">
        <f>IF(OR(J170="Krankenstand",J170="Urlaub"),"",IF(J170="","",VLOOKUP(D170,Dienste!C:W,15,)))</f>
        <v/>
      </c>
      <c r="AA170" s="124" t="str">
        <f t="shared" si="78"/>
        <v/>
      </c>
      <c r="AB170" s="19" t="str">
        <f t="shared" si="79"/>
        <v/>
      </c>
      <c r="AC170" s="126" t="str">
        <f>_xlfn.CONCAT(_xlfn.CONCAT(IF(I170="","",_xlfn.CONCAT("FT: ",I170,IF(J170="","","; "))),IF(B170&lt;Datenblatt!$B$9,"",IF(B170="","",IF(NOT(J170=""),SUBSTITUTE(SUBSTITUTE(SUBSTITUTE(J170," mR","")," oR","")," O",""),"")))),IF(AF170="","",_xlfn.CONCAT(CHAR(10),"; ",AF170)))</f>
        <v/>
      </c>
      <c r="AD170" s="124" t="str">
        <f t="shared" si="88"/>
        <v/>
      </c>
      <c r="AE170" s="19">
        <f t="shared" si="80"/>
        <v>0</v>
      </c>
      <c r="AF170" s="156"/>
    </row>
    <row r="171" spans="2:32" s="9" customFormat="1" ht="13">
      <c r="B171" s="6">
        <f t="shared" si="81"/>
        <v>44693</v>
      </c>
      <c r="C171" s="45">
        <f>SMALL(Daten!W:W,COUNTIF(Daten!W:W,"&lt;"&amp;Stundenaufzeichnung!B171+1))</f>
        <v>44578</v>
      </c>
      <c r="D171" s="45" t="str">
        <f t="shared" si="76"/>
        <v/>
      </c>
      <c r="E171" s="8">
        <f t="shared" si="77"/>
        <v>6</v>
      </c>
      <c r="F171" s="8">
        <f t="shared" si="82"/>
        <v>4</v>
      </c>
      <c r="G171" s="8">
        <f>IF(B171="","",VLOOKUP(E171,Datenblatt!$L$2:$N$8,3,FALSE))</f>
        <v>0</v>
      </c>
      <c r="H171" s="8" t="str">
        <f t="shared" si="83"/>
        <v/>
      </c>
      <c r="I171" s="11" t="str">
        <f>IFERROR(VLOOKUP(B171,Datenblatt!$E:$F,2,FALSE),"")</f>
        <v/>
      </c>
      <c r="J171" s="113"/>
      <c r="K171" s="19">
        <f>IF(B171&lt;Datenblatt!$B$9,"",IF(B171="","",IF(G171=0,Datenblatt!$B$7,"")))</f>
        <v>6.67</v>
      </c>
      <c r="L171" s="19" t="str">
        <f t="shared" si="84"/>
        <v/>
      </c>
      <c r="M171" s="124" t="str">
        <f t="shared" si="85"/>
        <v/>
      </c>
      <c r="N171" s="124" t="str">
        <f>IF(AND(L171=Datenblatt!$B$7,NOT(L170=Datenblatt!$B$7),NOT(L172=Datenblatt!$B$7)),"y",IF(AND(L171=Datenblatt!$B$7,L172=Datenblatt!$B$7,NOT(L170=Datenblatt!$B$7)),"a",IF(AND(L171=Datenblatt!$B$7,L170=Datenblatt!$B$7,NOT(L172=Datenblatt!$B$7)),"b","")))</f>
        <v/>
      </c>
      <c r="O171" s="19" t="str">
        <f t="shared" si="86"/>
        <v/>
      </c>
      <c r="P171" s="124" t="str">
        <f>IF(AND(M171=Datenblatt!$B$7,NOT(M170=Datenblatt!$B$7),NOT(M172=Datenblatt!$B$7)),"y",IF(AND(M171=Datenblatt!$B$7,M172=Datenblatt!$B$7,NOT(M170=Datenblatt!$B$7)),"a",IF(AND(M171=Datenblatt!$B$7,M170=Datenblatt!$B$7,NOT(M172=Datenblatt!$B$7)),"b","")))</f>
        <v/>
      </c>
      <c r="Q171" s="19" t="str">
        <f t="shared" si="87"/>
        <v/>
      </c>
      <c r="R171" s="124" t="str">
        <f>IF(I171="","",IF(AND(OR(J171="Krankenstand",J171="Urlaub",J171=""), AND(G171=0,NOT(I171=""))),Datenblatt!$B$7,""))</f>
        <v/>
      </c>
      <c r="S171" s="19" t="str">
        <f>IF(OR(J171="Krankenstand",J171="Urlaub"),"",IF(J171="","",VLOOKUP(D171,Dienste!C:W,21,)))</f>
        <v/>
      </c>
      <c r="T171" s="18" t="str">
        <f>IF(OR(J171="Krankenstand",J171="Urlaub"),"",IF(J171="","",VLOOKUP(D171,Dienste!C:W,5,)))</f>
        <v/>
      </c>
      <c r="U171" s="18" t="str">
        <f>IF(OR(J171="Krankenstand",J171="Urlaub"),"",IF(J171="","",VLOOKUP(D171,Dienste!C:W,6,)))</f>
        <v/>
      </c>
      <c r="V171" s="18" t="str">
        <f>IF(OR(J171="Krankenstand",J171="Urlaub"),"",IF(J171="","",VLOOKUP(D171,Dienste!C:W,7,)))</f>
        <v/>
      </c>
      <c r="W171" s="18" t="str">
        <f>IF(OR(J171="Krankenstand",J171="Urlaub"),"",IF(J171="","",VLOOKUP(D171,Dienste!C:W,11,)))</f>
        <v/>
      </c>
      <c r="X171" s="18" t="str">
        <f>IF(OR(J171="Krankenstand",J171="Urlaub"),"",IF(J171="","",VLOOKUP(D171,Dienste!C:W,12,)))</f>
        <v/>
      </c>
      <c r="Y171" s="19" t="str">
        <f>IF(OR(J171="Krankenstand",J171="Urlaub"),"",IF(J171="","",VLOOKUP(D171,Dienste!C:W,14,)))</f>
        <v/>
      </c>
      <c r="Z171" s="20" t="str">
        <f>IF(OR(J171="Krankenstand",J171="Urlaub"),"",IF(J171="","",VLOOKUP(D171,Dienste!C:W,15,)))</f>
        <v/>
      </c>
      <c r="AA171" s="124" t="str">
        <f t="shared" si="78"/>
        <v/>
      </c>
      <c r="AB171" s="19" t="str">
        <f t="shared" si="79"/>
        <v/>
      </c>
      <c r="AC171" s="126" t="str">
        <f>_xlfn.CONCAT(_xlfn.CONCAT(IF(I171="","",_xlfn.CONCAT("FT: ",I171,IF(J171="","","; "))),IF(B171&lt;Datenblatt!$B$9,"",IF(B171="","",IF(NOT(J171=""),SUBSTITUTE(SUBSTITUTE(SUBSTITUTE(J171," mR","")," oR","")," O",""),"")))),IF(AF171="","",_xlfn.CONCAT(CHAR(10),"; ",AF171)))</f>
        <v/>
      </c>
      <c r="AD171" s="124" t="str">
        <f t="shared" si="88"/>
        <v/>
      </c>
      <c r="AE171" s="19">
        <f t="shared" si="80"/>
        <v>0</v>
      </c>
      <c r="AF171" s="156"/>
    </row>
    <row r="172" spans="2:32" s="9" customFormat="1" ht="13">
      <c r="B172" s="6">
        <f t="shared" si="81"/>
        <v>44694</v>
      </c>
      <c r="C172" s="45">
        <f>SMALL(Daten!W:W,COUNTIF(Daten!W:W,"&lt;"&amp;Stundenaufzeichnung!B172+1))</f>
        <v>44578</v>
      </c>
      <c r="D172" s="45" t="str">
        <f t="shared" si="76"/>
        <v/>
      </c>
      <c r="E172" s="8">
        <f t="shared" si="77"/>
        <v>7</v>
      </c>
      <c r="F172" s="8">
        <f t="shared" si="82"/>
        <v>5</v>
      </c>
      <c r="G172" s="8">
        <f>IF(B172="","",VLOOKUP(E172,Datenblatt!$L$2:$N$8,3,FALSE))</f>
        <v>0</v>
      </c>
      <c r="H172" s="8" t="str">
        <f t="shared" si="83"/>
        <v/>
      </c>
      <c r="I172" s="11" t="str">
        <f>IFERROR(VLOOKUP(B172,Datenblatt!$E:$F,2,FALSE),"")</f>
        <v/>
      </c>
      <c r="J172" s="113"/>
      <c r="K172" s="19">
        <f>IF(B172&lt;Datenblatt!$B$9,"",IF(B172="","",IF(G172=0,Datenblatt!$B$7,"")))</f>
        <v>6.67</v>
      </c>
      <c r="L172" s="19" t="str">
        <f t="shared" si="84"/>
        <v/>
      </c>
      <c r="M172" s="124" t="str">
        <f t="shared" si="85"/>
        <v/>
      </c>
      <c r="N172" s="124" t="str">
        <f>IF(AND(L172=Datenblatt!$B$7,NOT(L171=Datenblatt!$B$7),NOT(L173=Datenblatt!$B$7)),"y",IF(AND(L172=Datenblatt!$B$7,L173=Datenblatt!$B$7,NOT(L171=Datenblatt!$B$7)),"a",IF(AND(L172=Datenblatt!$B$7,L171=Datenblatt!$B$7,NOT(L173=Datenblatt!$B$7)),"b","")))</f>
        <v/>
      </c>
      <c r="O172" s="19" t="str">
        <f t="shared" si="86"/>
        <v/>
      </c>
      <c r="P172" s="124" t="str">
        <f>IF(AND(M172=Datenblatt!$B$7,NOT(M171=Datenblatt!$B$7),NOT(M173=Datenblatt!$B$7)),"y",IF(AND(M172=Datenblatt!$B$7,M173=Datenblatt!$B$7,NOT(M171=Datenblatt!$B$7)),"a",IF(AND(M172=Datenblatt!$B$7,M171=Datenblatt!$B$7,NOT(M173=Datenblatt!$B$7)),"b","")))</f>
        <v/>
      </c>
      <c r="Q172" s="19" t="str">
        <f t="shared" si="87"/>
        <v/>
      </c>
      <c r="R172" s="124" t="str">
        <f>IF(I172="","",IF(AND(OR(J172="Krankenstand",J172="Urlaub",J172=""), AND(G172=0,NOT(I172=""))),Datenblatt!$B$7,""))</f>
        <v/>
      </c>
      <c r="S172" s="19" t="str">
        <f>IF(OR(J172="Krankenstand",J172="Urlaub"),"",IF(J172="","",VLOOKUP(D172,Dienste!C:W,21,)))</f>
        <v/>
      </c>
      <c r="T172" s="18" t="str">
        <f>IF(OR(J172="Krankenstand",J172="Urlaub"),"",IF(J172="","",VLOOKUP(D172,Dienste!C:W,5,)))</f>
        <v/>
      </c>
      <c r="U172" s="18" t="str">
        <f>IF(OR(J172="Krankenstand",J172="Urlaub"),"",IF(J172="","",VLOOKUP(D172,Dienste!C:W,6,)))</f>
        <v/>
      </c>
      <c r="V172" s="18" t="str">
        <f>IF(OR(J172="Krankenstand",J172="Urlaub"),"",IF(J172="","",VLOOKUP(D172,Dienste!C:W,7,)))</f>
        <v/>
      </c>
      <c r="W172" s="18" t="str">
        <f>IF(OR(J172="Krankenstand",J172="Urlaub"),"",IF(J172="","",VLOOKUP(D172,Dienste!C:W,11,)))</f>
        <v/>
      </c>
      <c r="X172" s="18" t="str">
        <f>IF(OR(J172="Krankenstand",J172="Urlaub"),"",IF(J172="","",VLOOKUP(D172,Dienste!C:W,12,)))</f>
        <v/>
      </c>
      <c r="Y172" s="19" t="str">
        <f>IF(OR(J172="Krankenstand",J172="Urlaub"),"",IF(J172="","",VLOOKUP(D172,Dienste!C:W,14,)))</f>
        <v/>
      </c>
      <c r="Z172" s="20" t="str">
        <f>IF(OR(J172="Krankenstand",J172="Urlaub"),"",IF(J172="","",VLOOKUP(D172,Dienste!C:W,15,)))</f>
        <v/>
      </c>
      <c r="AA172" s="124" t="str">
        <f t="shared" si="78"/>
        <v/>
      </c>
      <c r="AB172" s="19" t="str">
        <f t="shared" si="79"/>
        <v/>
      </c>
      <c r="AC172" s="126" t="str">
        <f>_xlfn.CONCAT(_xlfn.CONCAT(IF(I172="","",_xlfn.CONCAT("FT: ",I172,IF(J172="","","; "))),IF(B172&lt;Datenblatt!$B$9,"",IF(B172="","",IF(NOT(J172=""),SUBSTITUTE(SUBSTITUTE(SUBSTITUTE(J172," mR","")," oR","")," O",""),"")))),IF(AF172="","",_xlfn.CONCAT(CHAR(10),"; ",AF172)))</f>
        <v/>
      </c>
      <c r="AD172" s="124" t="str">
        <f t="shared" si="88"/>
        <v/>
      </c>
      <c r="AE172" s="19">
        <f t="shared" si="80"/>
        <v>0</v>
      </c>
      <c r="AF172" s="156"/>
    </row>
    <row r="173" spans="2:32" s="9" customFormat="1" ht="13">
      <c r="B173" s="6">
        <f t="shared" si="81"/>
        <v>44695</v>
      </c>
      <c r="C173" s="45">
        <f>SMALL(Daten!W:W,COUNTIF(Daten!W:W,"&lt;"&amp;Stundenaufzeichnung!B173+1))</f>
        <v>44578</v>
      </c>
      <c r="D173" s="45" t="str">
        <f t="shared" si="76"/>
        <v/>
      </c>
      <c r="E173" s="8">
        <f t="shared" si="77"/>
        <v>1</v>
      </c>
      <c r="F173" s="8">
        <f t="shared" si="82"/>
        <v>6</v>
      </c>
      <c r="G173" s="8">
        <f>IF(B173="","",VLOOKUP(E173,Datenblatt!$L$2:$N$8,3,FALSE))</f>
        <v>0</v>
      </c>
      <c r="H173" s="8" t="str">
        <f t="shared" si="83"/>
        <v/>
      </c>
      <c r="I173" s="11" t="str">
        <f>IFERROR(VLOOKUP(B173,Datenblatt!$E:$F,2,FALSE),"")</f>
        <v/>
      </c>
      <c r="J173" s="113"/>
      <c r="K173" s="19">
        <f>IF(B173&lt;Datenblatt!$B$9,"",IF(B173="","",IF(G173=0,Datenblatt!$B$7,"")))</f>
        <v>6.67</v>
      </c>
      <c r="L173" s="19" t="str">
        <f t="shared" si="84"/>
        <v/>
      </c>
      <c r="M173" s="124" t="str">
        <f t="shared" si="85"/>
        <v/>
      </c>
      <c r="N173" s="124" t="str">
        <f>IF(AND(L173=Datenblatt!$B$7,NOT(L172=Datenblatt!$B$7),NOT(L174=Datenblatt!$B$7)),"y",IF(AND(L173=Datenblatt!$B$7,L174=Datenblatt!$B$7,NOT(L172=Datenblatt!$B$7)),"a",IF(AND(L173=Datenblatt!$B$7,L172=Datenblatt!$B$7,NOT(L174=Datenblatt!$B$7)),"b","")))</f>
        <v/>
      </c>
      <c r="O173" s="19" t="str">
        <f t="shared" si="86"/>
        <v/>
      </c>
      <c r="P173" s="124" t="str">
        <f>IF(AND(M173=Datenblatt!$B$7,NOT(M172=Datenblatt!$B$7),NOT(M174=Datenblatt!$B$7)),"y",IF(AND(M173=Datenblatt!$B$7,M174=Datenblatt!$B$7,NOT(M172=Datenblatt!$B$7)),"a",IF(AND(M173=Datenblatt!$B$7,M172=Datenblatt!$B$7,NOT(M174=Datenblatt!$B$7)),"b","")))</f>
        <v/>
      </c>
      <c r="Q173" s="19" t="str">
        <f t="shared" si="87"/>
        <v/>
      </c>
      <c r="R173" s="124" t="str">
        <f>IF(I173="","",IF(AND(OR(J173="Krankenstand",J173="Urlaub",J173=""), AND(G173=0,NOT(I173=""))),Datenblatt!$B$7,""))</f>
        <v/>
      </c>
      <c r="S173" s="19" t="str">
        <f>IF(OR(J173="Krankenstand",J173="Urlaub"),"",IF(J173="","",VLOOKUP(D173,Dienste!C:W,21,)))</f>
        <v/>
      </c>
      <c r="T173" s="18" t="str">
        <f>IF(OR(J173="Krankenstand",J173="Urlaub"),"",IF(J173="","",VLOOKUP(D173,Dienste!C:W,5,)))</f>
        <v/>
      </c>
      <c r="U173" s="18" t="str">
        <f>IF(OR(J173="Krankenstand",J173="Urlaub"),"",IF(J173="","",VLOOKUP(D173,Dienste!C:W,6,)))</f>
        <v/>
      </c>
      <c r="V173" s="18" t="str">
        <f>IF(OR(J173="Krankenstand",J173="Urlaub"),"",IF(J173="","",VLOOKUP(D173,Dienste!C:W,7,)))</f>
        <v/>
      </c>
      <c r="W173" s="18" t="str">
        <f>IF(OR(J173="Krankenstand",J173="Urlaub"),"",IF(J173="","",VLOOKUP(D173,Dienste!C:W,11,)))</f>
        <v/>
      </c>
      <c r="X173" s="18" t="str">
        <f>IF(OR(J173="Krankenstand",J173="Urlaub"),"",IF(J173="","",VLOOKUP(D173,Dienste!C:W,12,)))</f>
        <v/>
      </c>
      <c r="Y173" s="19" t="str">
        <f>IF(OR(J173="Krankenstand",J173="Urlaub"),"",IF(J173="","",VLOOKUP(D173,Dienste!C:W,14,)))</f>
        <v/>
      </c>
      <c r="Z173" s="20" t="str">
        <f>IF(OR(J173="Krankenstand",J173="Urlaub"),"",IF(J173="","",VLOOKUP(D173,Dienste!C:W,15,)))</f>
        <v/>
      </c>
      <c r="AA173" s="124" t="str">
        <f t="shared" si="78"/>
        <v/>
      </c>
      <c r="AB173" s="19" t="str">
        <f t="shared" si="79"/>
        <v/>
      </c>
      <c r="AC173" s="126" t="str">
        <f>_xlfn.CONCAT(_xlfn.CONCAT(IF(I173="","",_xlfn.CONCAT("FT: ",I173,IF(J173="","","; "))),IF(B173&lt;Datenblatt!$B$9,"",IF(B173="","",IF(NOT(J173=""),SUBSTITUTE(SUBSTITUTE(SUBSTITUTE(J173," mR","")," oR","")," O",""),"")))),IF(AF173="","",_xlfn.CONCAT(CHAR(10),"; ",AF173)))</f>
        <v/>
      </c>
      <c r="AD173" s="124" t="str">
        <f t="shared" si="88"/>
        <v/>
      </c>
      <c r="AE173" s="19">
        <f t="shared" si="80"/>
        <v>0</v>
      </c>
      <c r="AF173" s="156"/>
    </row>
    <row r="174" spans="2:32" s="9" customFormat="1" ht="13">
      <c r="B174" s="6">
        <f t="shared" si="81"/>
        <v>44696</v>
      </c>
      <c r="C174" s="45">
        <f>SMALL(Daten!W:W,COUNTIF(Daten!W:W,"&lt;"&amp;Stundenaufzeichnung!B174+1))</f>
        <v>44578</v>
      </c>
      <c r="D174" s="45" t="str">
        <f t="shared" si="76"/>
        <v/>
      </c>
      <c r="E174" s="8">
        <f t="shared" si="77"/>
        <v>2</v>
      </c>
      <c r="F174" s="8">
        <f t="shared" si="82"/>
        <v>7</v>
      </c>
      <c r="G174" s="8">
        <f>IF(B174="","",VLOOKUP(E174,Datenblatt!$L$2:$N$8,3,FALSE))</f>
        <v>1</v>
      </c>
      <c r="H174" s="8" t="str">
        <f t="shared" si="83"/>
        <v>x</v>
      </c>
      <c r="I174" s="11" t="str">
        <f>IFERROR(VLOOKUP(B174,Datenblatt!$E:$F,2,FALSE),"")</f>
        <v/>
      </c>
      <c r="J174" s="113"/>
      <c r="K174" s="19" t="str">
        <f>IF(B174&lt;Datenblatt!$B$9,"",IF(B174="","",IF(G174=0,Datenblatt!$B$7,"")))</f>
        <v/>
      </c>
      <c r="L174" s="19" t="str">
        <f t="shared" si="84"/>
        <v/>
      </c>
      <c r="M174" s="124" t="str">
        <f t="shared" si="85"/>
        <v/>
      </c>
      <c r="N174" s="124" t="str">
        <f>IF(AND(L174=Datenblatt!$B$7,NOT(L173=Datenblatt!$B$7),NOT(L175=Datenblatt!$B$7)),"y",IF(AND(L174=Datenblatt!$B$7,L175=Datenblatt!$B$7,NOT(L173=Datenblatt!$B$7)),"a",IF(AND(L174=Datenblatt!$B$7,L173=Datenblatt!$B$7,NOT(L175=Datenblatt!$B$7)),"b","")))</f>
        <v/>
      </c>
      <c r="O174" s="19" t="str">
        <f t="shared" si="86"/>
        <v/>
      </c>
      <c r="P174" s="124" t="str">
        <f>IF(AND(M174=Datenblatt!$B$7,NOT(M173=Datenblatt!$B$7),NOT(M175=Datenblatt!$B$7)),"y",IF(AND(M174=Datenblatt!$B$7,M175=Datenblatt!$B$7,NOT(M173=Datenblatt!$B$7)),"a",IF(AND(M174=Datenblatt!$B$7,M173=Datenblatt!$B$7,NOT(M175=Datenblatt!$B$7)),"b","")))</f>
        <v/>
      </c>
      <c r="Q174" s="19" t="str">
        <f t="shared" si="87"/>
        <v/>
      </c>
      <c r="R174" s="124" t="str">
        <f>IF(I174="","",IF(AND(OR(J174="Krankenstand",J174="Urlaub",J174=""), AND(G174=0,NOT(I174=""))),Datenblatt!$B$7,""))</f>
        <v/>
      </c>
      <c r="S174" s="19" t="str">
        <f>IF(OR(J174="Krankenstand",J174="Urlaub"),"",IF(J174="","",VLOOKUP(D174,Dienste!C:W,21,)))</f>
        <v/>
      </c>
      <c r="T174" s="18" t="str">
        <f>IF(OR(J174="Krankenstand",J174="Urlaub"),"",IF(J174="","",VLOOKUP(D174,Dienste!C:W,5,)))</f>
        <v/>
      </c>
      <c r="U174" s="18" t="str">
        <f>IF(OR(J174="Krankenstand",J174="Urlaub"),"",IF(J174="","",VLOOKUP(D174,Dienste!C:W,6,)))</f>
        <v/>
      </c>
      <c r="V174" s="18" t="str">
        <f>IF(OR(J174="Krankenstand",J174="Urlaub"),"",IF(J174="","",VLOOKUP(D174,Dienste!C:W,7,)))</f>
        <v/>
      </c>
      <c r="W174" s="18" t="str">
        <f>IF(OR(J174="Krankenstand",J174="Urlaub"),"",IF(J174="","",VLOOKUP(D174,Dienste!C:W,11,)))</f>
        <v/>
      </c>
      <c r="X174" s="18" t="str">
        <f>IF(OR(J174="Krankenstand",J174="Urlaub"),"",IF(J174="","",VLOOKUP(D174,Dienste!C:W,12,)))</f>
        <v/>
      </c>
      <c r="Y174" s="19" t="str">
        <f>IF(OR(J174="Krankenstand",J174="Urlaub"),"",IF(J174="","",VLOOKUP(D174,Dienste!C:W,14,)))</f>
        <v/>
      </c>
      <c r="Z174" s="20" t="str">
        <f>IF(OR(J174="Krankenstand",J174="Urlaub"),"",IF(J174="","",VLOOKUP(D174,Dienste!C:W,15,)))</f>
        <v/>
      </c>
      <c r="AA174" s="124" t="str">
        <f t="shared" si="78"/>
        <v/>
      </c>
      <c r="AB174" s="19" t="str">
        <f t="shared" si="79"/>
        <v/>
      </c>
      <c r="AC174" s="126" t="str">
        <f>_xlfn.CONCAT(_xlfn.CONCAT(IF(I174="","",_xlfn.CONCAT("FT: ",I174,IF(J174="","","; "))),IF(B174&lt;Datenblatt!$B$9,"",IF(B174="","",IF(NOT(J174=""),SUBSTITUTE(SUBSTITUTE(SUBSTITUTE(J174," mR","")," oR","")," O",""),"")))),IF(AF174="","",_xlfn.CONCAT(CHAR(10),"; ",AF174)))</f>
        <v/>
      </c>
      <c r="AD174" s="124" t="str">
        <f t="shared" si="88"/>
        <v/>
      </c>
      <c r="AE174" s="19">
        <f t="shared" si="80"/>
        <v>0</v>
      </c>
      <c r="AF174" s="156"/>
    </row>
    <row r="175" spans="2:32" s="9" customFormat="1" ht="13">
      <c r="B175" s="6">
        <f t="shared" si="81"/>
        <v>44697</v>
      </c>
      <c r="C175" s="45">
        <f>SMALL(Daten!W:W,COUNTIF(Daten!W:W,"&lt;"&amp;Stundenaufzeichnung!B175+1))</f>
        <v>44578</v>
      </c>
      <c r="D175" s="45" t="str">
        <f t="shared" si="76"/>
        <v/>
      </c>
      <c r="E175" s="8">
        <f t="shared" si="77"/>
        <v>3</v>
      </c>
      <c r="F175" s="8">
        <f t="shared" si="82"/>
        <v>1</v>
      </c>
      <c r="G175" s="8">
        <f>IF(B175="","",VLOOKUP(E175,Datenblatt!$L$2:$N$8,3,FALSE))</f>
        <v>0</v>
      </c>
      <c r="H175" s="8" t="str">
        <f t="shared" si="83"/>
        <v/>
      </c>
      <c r="I175" s="11" t="str">
        <f>IFERROR(VLOOKUP(B175,Datenblatt!$E:$F,2,FALSE),"")</f>
        <v/>
      </c>
      <c r="J175" s="113"/>
      <c r="K175" s="19">
        <f>IF(B175&lt;Datenblatt!$B$9,"",IF(B175="","",IF(G175=0,Datenblatt!$B$7,"")))</f>
        <v>6.67</v>
      </c>
      <c r="L175" s="19" t="str">
        <f t="shared" si="84"/>
        <v/>
      </c>
      <c r="M175" s="124" t="str">
        <f t="shared" si="85"/>
        <v/>
      </c>
      <c r="N175" s="124" t="str">
        <f>IF(AND(L175=Datenblatt!$B$7,NOT(L174=Datenblatt!$B$7),NOT(L176=Datenblatt!$B$7)),"y",IF(AND(L175=Datenblatt!$B$7,L176=Datenblatt!$B$7,NOT(L174=Datenblatt!$B$7)),"a",IF(AND(L175=Datenblatt!$B$7,L174=Datenblatt!$B$7,NOT(L176=Datenblatt!$B$7)),"b","")))</f>
        <v/>
      </c>
      <c r="O175" s="19" t="str">
        <f t="shared" si="86"/>
        <v/>
      </c>
      <c r="P175" s="124" t="str">
        <f>IF(AND(M175=Datenblatt!$B$7,NOT(M174=Datenblatt!$B$7),NOT(M176=Datenblatt!$B$7)),"y",IF(AND(M175=Datenblatt!$B$7,M176=Datenblatt!$B$7,NOT(M174=Datenblatt!$B$7)),"a",IF(AND(M175=Datenblatt!$B$7,M174=Datenblatt!$B$7,NOT(M176=Datenblatt!$B$7)),"b","")))</f>
        <v/>
      </c>
      <c r="Q175" s="19" t="str">
        <f t="shared" si="87"/>
        <v/>
      </c>
      <c r="R175" s="124" t="str">
        <f>IF(I175="","",IF(AND(OR(J175="Krankenstand",J175="Urlaub",J175=""), AND(G175=0,NOT(I175=""))),Datenblatt!$B$7,""))</f>
        <v/>
      </c>
      <c r="S175" s="19" t="str">
        <f>IF(OR(J175="Krankenstand",J175="Urlaub"),"",IF(J175="","",VLOOKUP(D175,Dienste!C:W,21,)))</f>
        <v/>
      </c>
      <c r="T175" s="18" t="str">
        <f>IF(OR(J175="Krankenstand",J175="Urlaub"),"",IF(J175="","",VLOOKUP(D175,Dienste!C:W,5,)))</f>
        <v/>
      </c>
      <c r="U175" s="18" t="str">
        <f>IF(OR(J175="Krankenstand",J175="Urlaub"),"",IF(J175="","",VLOOKUP(D175,Dienste!C:W,6,)))</f>
        <v/>
      </c>
      <c r="V175" s="18" t="str">
        <f>IF(OR(J175="Krankenstand",J175="Urlaub"),"",IF(J175="","",VLOOKUP(D175,Dienste!C:W,7,)))</f>
        <v/>
      </c>
      <c r="W175" s="18" t="str">
        <f>IF(OR(J175="Krankenstand",J175="Urlaub"),"",IF(J175="","",VLOOKUP(D175,Dienste!C:W,11,)))</f>
        <v/>
      </c>
      <c r="X175" s="18" t="str">
        <f>IF(OR(J175="Krankenstand",J175="Urlaub"),"",IF(J175="","",VLOOKUP(D175,Dienste!C:W,12,)))</f>
        <v/>
      </c>
      <c r="Y175" s="19" t="str">
        <f>IF(OR(J175="Krankenstand",J175="Urlaub"),"",IF(J175="","",VLOOKUP(D175,Dienste!C:W,14,)))</f>
        <v/>
      </c>
      <c r="Z175" s="20" t="str">
        <f>IF(OR(J175="Krankenstand",J175="Urlaub"),"",IF(J175="","",VLOOKUP(D175,Dienste!C:W,15,)))</f>
        <v/>
      </c>
      <c r="AA175" s="124" t="str">
        <f t="shared" si="78"/>
        <v/>
      </c>
      <c r="AB175" s="19" t="str">
        <f t="shared" si="79"/>
        <v/>
      </c>
      <c r="AC175" s="126" t="str">
        <f>_xlfn.CONCAT(_xlfn.CONCAT(IF(I175="","",_xlfn.CONCAT("FT: ",I175,IF(J175="","","; "))),IF(B175&lt;Datenblatt!$B$9,"",IF(B175="","",IF(NOT(J175=""),SUBSTITUTE(SUBSTITUTE(SUBSTITUTE(J175," mR","")," oR","")," O",""),"")))),IF(AF175="","",_xlfn.CONCAT(CHAR(10),"; ",AF175)))</f>
        <v/>
      </c>
      <c r="AD175" s="124" t="str">
        <f t="shared" si="88"/>
        <v/>
      </c>
      <c r="AE175" s="19">
        <f t="shared" si="80"/>
        <v>0</v>
      </c>
      <c r="AF175" s="156"/>
    </row>
    <row r="176" spans="2:32" s="9" customFormat="1" ht="13">
      <c r="B176" s="6">
        <f t="shared" si="81"/>
        <v>44698</v>
      </c>
      <c r="C176" s="45">
        <f>SMALL(Daten!W:W,COUNTIF(Daten!W:W,"&lt;"&amp;Stundenaufzeichnung!B176+1))</f>
        <v>44578</v>
      </c>
      <c r="D176" s="45" t="str">
        <f t="shared" si="76"/>
        <v/>
      </c>
      <c r="E176" s="8">
        <f t="shared" si="77"/>
        <v>4</v>
      </c>
      <c r="F176" s="8">
        <f t="shared" si="82"/>
        <v>2</v>
      </c>
      <c r="G176" s="8">
        <f>IF(B176="","",VLOOKUP(E176,Datenblatt!$L$2:$N$8,3,FALSE))</f>
        <v>0</v>
      </c>
      <c r="H176" s="8" t="str">
        <f t="shared" si="83"/>
        <v/>
      </c>
      <c r="I176" s="11" t="str">
        <f>IFERROR(VLOOKUP(B176,Datenblatt!$E:$F,2,FALSE),"")</f>
        <v/>
      </c>
      <c r="J176" s="113"/>
      <c r="K176" s="19">
        <f>IF(B176&lt;Datenblatt!$B$9,"",IF(B176="","",IF(G176=0,Datenblatt!$B$7,"")))</f>
        <v>6.67</v>
      </c>
      <c r="L176" s="19" t="str">
        <f t="shared" si="84"/>
        <v/>
      </c>
      <c r="M176" s="124" t="str">
        <f t="shared" si="85"/>
        <v/>
      </c>
      <c r="N176" s="124" t="str">
        <f>IF(AND(L176=Datenblatt!$B$7,NOT(L175=Datenblatt!$B$7),NOT(L177=Datenblatt!$B$7)),"y",IF(AND(L176=Datenblatt!$B$7,L177=Datenblatt!$B$7,NOT(L175=Datenblatt!$B$7)),"a",IF(AND(L176=Datenblatt!$B$7,L175=Datenblatt!$B$7,NOT(L177=Datenblatt!$B$7)),"b","")))</f>
        <v/>
      </c>
      <c r="O176" s="19" t="str">
        <f t="shared" si="86"/>
        <v/>
      </c>
      <c r="P176" s="124" t="str">
        <f>IF(AND(M176=Datenblatt!$B$7,NOT(M175=Datenblatt!$B$7),NOT(M177=Datenblatt!$B$7)),"y",IF(AND(M176=Datenblatt!$B$7,M177=Datenblatt!$B$7,NOT(M175=Datenblatt!$B$7)),"a",IF(AND(M176=Datenblatt!$B$7,M175=Datenblatt!$B$7,NOT(M177=Datenblatt!$B$7)),"b","")))</f>
        <v/>
      </c>
      <c r="Q176" s="19" t="str">
        <f t="shared" si="87"/>
        <v/>
      </c>
      <c r="R176" s="124" t="str">
        <f>IF(I176="","",IF(AND(OR(J176="Krankenstand",J176="Urlaub",J176=""), AND(G176=0,NOT(I176=""))),Datenblatt!$B$7,""))</f>
        <v/>
      </c>
      <c r="S176" s="19" t="str">
        <f>IF(OR(J176="Krankenstand",J176="Urlaub"),"",IF(J176="","",VLOOKUP(D176,Dienste!C:W,21,)))</f>
        <v/>
      </c>
      <c r="T176" s="18" t="str">
        <f>IF(OR(J176="Krankenstand",J176="Urlaub"),"",IF(J176="","",VLOOKUP(D176,Dienste!C:W,5,)))</f>
        <v/>
      </c>
      <c r="U176" s="18" t="str">
        <f>IF(OR(J176="Krankenstand",J176="Urlaub"),"",IF(J176="","",VLOOKUP(D176,Dienste!C:W,6,)))</f>
        <v/>
      </c>
      <c r="V176" s="18" t="str">
        <f>IF(OR(J176="Krankenstand",J176="Urlaub"),"",IF(J176="","",VLOOKUP(D176,Dienste!C:W,7,)))</f>
        <v/>
      </c>
      <c r="W176" s="18" t="str">
        <f>IF(OR(J176="Krankenstand",J176="Urlaub"),"",IF(J176="","",VLOOKUP(D176,Dienste!C:W,11,)))</f>
        <v/>
      </c>
      <c r="X176" s="18" t="str">
        <f>IF(OR(J176="Krankenstand",J176="Urlaub"),"",IF(J176="","",VLOOKUP(D176,Dienste!C:W,12,)))</f>
        <v/>
      </c>
      <c r="Y176" s="19" t="str">
        <f>IF(OR(J176="Krankenstand",J176="Urlaub"),"",IF(J176="","",VLOOKUP(D176,Dienste!C:W,14,)))</f>
        <v/>
      </c>
      <c r="Z176" s="20" t="str">
        <f>IF(OR(J176="Krankenstand",J176="Urlaub"),"",IF(J176="","",VLOOKUP(D176,Dienste!C:W,15,)))</f>
        <v/>
      </c>
      <c r="AA176" s="124" t="str">
        <f t="shared" si="78"/>
        <v/>
      </c>
      <c r="AB176" s="19" t="str">
        <f t="shared" si="79"/>
        <v/>
      </c>
      <c r="AC176" s="126" t="str">
        <f>_xlfn.CONCAT(_xlfn.CONCAT(IF(I176="","",_xlfn.CONCAT("FT: ",I176,IF(J176="","","; "))),IF(B176&lt;Datenblatt!$B$9,"",IF(B176="","",IF(NOT(J176=""),SUBSTITUTE(SUBSTITUTE(SUBSTITUTE(J176," mR","")," oR","")," O",""),"")))),IF(AF176="","",_xlfn.CONCAT(CHAR(10),"; ",AF176)))</f>
        <v/>
      </c>
      <c r="AD176" s="124" t="str">
        <f t="shared" si="88"/>
        <v/>
      </c>
      <c r="AE176" s="19">
        <f t="shared" si="80"/>
        <v>0</v>
      </c>
      <c r="AF176" s="156"/>
    </row>
    <row r="177" spans="2:32" s="9" customFormat="1" ht="13">
      <c r="B177" s="6">
        <f t="shared" si="81"/>
        <v>44699</v>
      </c>
      <c r="C177" s="45">
        <f>SMALL(Daten!W:W,COUNTIF(Daten!W:W,"&lt;"&amp;Stundenaufzeichnung!B177+1))</f>
        <v>44578</v>
      </c>
      <c r="D177" s="45" t="str">
        <f t="shared" si="76"/>
        <v/>
      </c>
      <c r="E177" s="8">
        <f t="shared" si="77"/>
        <v>5</v>
      </c>
      <c r="F177" s="8">
        <f t="shared" si="82"/>
        <v>3</v>
      </c>
      <c r="G177" s="8">
        <f>IF(B177="","",VLOOKUP(E177,Datenblatt!$L$2:$N$8,3,FALSE))</f>
        <v>0</v>
      </c>
      <c r="H177" s="8" t="str">
        <f t="shared" si="83"/>
        <v/>
      </c>
      <c r="I177" s="11" t="str">
        <f>IFERROR(VLOOKUP(B177,Datenblatt!$E:$F,2,FALSE),"")</f>
        <v/>
      </c>
      <c r="J177" s="113"/>
      <c r="K177" s="19">
        <f>IF(B177&lt;Datenblatt!$B$9,"",IF(B177="","",IF(G177=0,Datenblatt!$B$7,"")))</f>
        <v>6.67</v>
      </c>
      <c r="L177" s="19" t="str">
        <f t="shared" si="84"/>
        <v/>
      </c>
      <c r="M177" s="124" t="str">
        <f t="shared" si="85"/>
        <v/>
      </c>
      <c r="N177" s="124" t="str">
        <f>IF(AND(L177=Datenblatt!$B$7,NOT(L176=Datenblatt!$B$7),NOT(L178=Datenblatt!$B$7)),"y",IF(AND(L177=Datenblatt!$B$7,L178=Datenblatt!$B$7,NOT(L176=Datenblatt!$B$7)),"a",IF(AND(L177=Datenblatt!$B$7,L176=Datenblatt!$B$7,NOT(L178=Datenblatt!$B$7)),"b","")))</f>
        <v/>
      </c>
      <c r="O177" s="19" t="str">
        <f t="shared" si="86"/>
        <v/>
      </c>
      <c r="P177" s="124" t="str">
        <f>IF(AND(M177=Datenblatt!$B$7,NOT(M176=Datenblatt!$B$7),NOT(M178=Datenblatt!$B$7)),"y",IF(AND(M177=Datenblatt!$B$7,M178=Datenblatt!$B$7,NOT(M176=Datenblatt!$B$7)),"a",IF(AND(M177=Datenblatt!$B$7,M176=Datenblatt!$B$7,NOT(M178=Datenblatt!$B$7)),"b","")))</f>
        <v/>
      </c>
      <c r="Q177" s="19" t="str">
        <f t="shared" si="87"/>
        <v/>
      </c>
      <c r="R177" s="124" t="str">
        <f>IF(I177="","",IF(AND(OR(J177="Krankenstand",J177="Urlaub",J177=""), AND(G177=0,NOT(I177=""))),Datenblatt!$B$7,""))</f>
        <v/>
      </c>
      <c r="S177" s="19" t="str">
        <f>IF(OR(J177="Krankenstand",J177="Urlaub"),"",IF(J177="","",VLOOKUP(D177,Dienste!C:W,21,)))</f>
        <v/>
      </c>
      <c r="T177" s="18" t="str">
        <f>IF(OR(J177="Krankenstand",J177="Urlaub"),"",IF(J177="","",VLOOKUP(D177,Dienste!C:W,5,)))</f>
        <v/>
      </c>
      <c r="U177" s="18" t="str">
        <f>IF(OR(J177="Krankenstand",J177="Urlaub"),"",IF(J177="","",VLOOKUP(D177,Dienste!C:W,6,)))</f>
        <v/>
      </c>
      <c r="V177" s="18" t="str">
        <f>IF(OR(J177="Krankenstand",J177="Urlaub"),"",IF(J177="","",VLOOKUP(D177,Dienste!C:W,7,)))</f>
        <v/>
      </c>
      <c r="W177" s="18" t="str">
        <f>IF(OR(J177="Krankenstand",J177="Urlaub"),"",IF(J177="","",VLOOKUP(D177,Dienste!C:W,11,)))</f>
        <v/>
      </c>
      <c r="X177" s="18" t="str">
        <f>IF(OR(J177="Krankenstand",J177="Urlaub"),"",IF(J177="","",VLOOKUP(D177,Dienste!C:W,12,)))</f>
        <v/>
      </c>
      <c r="Y177" s="19" t="str">
        <f>IF(OR(J177="Krankenstand",J177="Urlaub"),"",IF(J177="","",VLOOKUP(D177,Dienste!C:W,14,)))</f>
        <v/>
      </c>
      <c r="Z177" s="20" t="str">
        <f>IF(OR(J177="Krankenstand",J177="Urlaub"),"",IF(J177="","",VLOOKUP(D177,Dienste!C:W,15,)))</f>
        <v/>
      </c>
      <c r="AA177" s="124" t="str">
        <f t="shared" si="78"/>
        <v/>
      </c>
      <c r="AB177" s="19" t="str">
        <f t="shared" si="79"/>
        <v/>
      </c>
      <c r="AC177" s="126" t="str">
        <f>_xlfn.CONCAT(_xlfn.CONCAT(IF(I177="","",_xlfn.CONCAT("FT: ",I177,IF(J177="","","; "))),IF(B177&lt;Datenblatt!$B$9,"",IF(B177="","",IF(NOT(J177=""),SUBSTITUTE(SUBSTITUTE(SUBSTITUTE(J177," mR","")," oR","")," O",""),"")))),IF(AF177="","",_xlfn.CONCAT(CHAR(10),"; ",AF177)))</f>
        <v/>
      </c>
      <c r="AD177" s="124" t="str">
        <f t="shared" si="88"/>
        <v/>
      </c>
      <c r="AE177" s="19">
        <f t="shared" si="80"/>
        <v>0</v>
      </c>
      <c r="AF177" s="156"/>
    </row>
    <row r="178" spans="2:32" s="9" customFormat="1" ht="13">
      <c r="B178" s="6">
        <f t="shared" si="81"/>
        <v>44700</v>
      </c>
      <c r="C178" s="45">
        <f>SMALL(Daten!W:W,COUNTIF(Daten!W:W,"&lt;"&amp;Stundenaufzeichnung!B178+1))</f>
        <v>44578</v>
      </c>
      <c r="D178" s="45" t="str">
        <f t="shared" si="76"/>
        <v/>
      </c>
      <c r="E178" s="8">
        <f t="shared" si="77"/>
        <v>6</v>
      </c>
      <c r="F178" s="8">
        <f t="shared" si="82"/>
        <v>4</v>
      </c>
      <c r="G178" s="8">
        <f>IF(B178="","",VLOOKUP(E178,Datenblatt!$L$2:$N$8,3,FALSE))</f>
        <v>0</v>
      </c>
      <c r="H178" s="8" t="str">
        <f t="shared" si="83"/>
        <v/>
      </c>
      <c r="I178" s="11" t="str">
        <f>IFERROR(VLOOKUP(B178,Datenblatt!$E:$F,2,FALSE),"")</f>
        <v/>
      </c>
      <c r="J178" s="113"/>
      <c r="K178" s="19">
        <f>IF(B178&lt;Datenblatt!$B$9,"",IF(B178="","",IF(G178=0,Datenblatt!$B$7,"")))</f>
        <v>6.67</v>
      </c>
      <c r="L178" s="19" t="str">
        <f t="shared" si="84"/>
        <v/>
      </c>
      <c r="M178" s="124" t="str">
        <f t="shared" si="85"/>
        <v/>
      </c>
      <c r="N178" s="124" t="str">
        <f>IF(AND(L178=Datenblatt!$B$7,NOT(L177=Datenblatt!$B$7),NOT(L179=Datenblatt!$B$7)),"y",IF(AND(L178=Datenblatt!$B$7,L179=Datenblatt!$B$7,NOT(L177=Datenblatt!$B$7)),"a",IF(AND(L178=Datenblatt!$B$7,L177=Datenblatt!$B$7,NOT(L179=Datenblatt!$B$7)),"b","")))</f>
        <v/>
      </c>
      <c r="O178" s="19" t="str">
        <f t="shared" si="86"/>
        <v/>
      </c>
      <c r="P178" s="124" t="str">
        <f>IF(AND(M178=Datenblatt!$B$7,NOT(M177=Datenblatt!$B$7),NOT(M179=Datenblatt!$B$7)),"y",IF(AND(M178=Datenblatt!$B$7,M179=Datenblatt!$B$7,NOT(M177=Datenblatt!$B$7)),"a",IF(AND(M178=Datenblatt!$B$7,M177=Datenblatt!$B$7,NOT(M179=Datenblatt!$B$7)),"b","")))</f>
        <v/>
      </c>
      <c r="Q178" s="19" t="str">
        <f t="shared" si="87"/>
        <v/>
      </c>
      <c r="R178" s="124" t="str">
        <f>IF(I178="","",IF(AND(OR(J178="Krankenstand",J178="Urlaub",J178=""), AND(G178=0,NOT(I178=""))),Datenblatt!$B$7,""))</f>
        <v/>
      </c>
      <c r="S178" s="19" t="str">
        <f>IF(OR(J178="Krankenstand",J178="Urlaub"),"",IF(J178="","",VLOOKUP(D178,Dienste!C:W,21,)))</f>
        <v/>
      </c>
      <c r="T178" s="18" t="str">
        <f>IF(OR(J178="Krankenstand",J178="Urlaub"),"",IF(J178="","",VLOOKUP(D178,Dienste!C:W,5,)))</f>
        <v/>
      </c>
      <c r="U178" s="18" t="str">
        <f>IF(OR(J178="Krankenstand",J178="Urlaub"),"",IF(J178="","",VLOOKUP(D178,Dienste!C:W,6,)))</f>
        <v/>
      </c>
      <c r="V178" s="18" t="str">
        <f>IF(OR(J178="Krankenstand",J178="Urlaub"),"",IF(J178="","",VLOOKUP(D178,Dienste!C:W,7,)))</f>
        <v/>
      </c>
      <c r="W178" s="18" t="str">
        <f>IF(OR(J178="Krankenstand",J178="Urlaub"),"",IF(J178="","",VLOOKUP(D178,Dienste!C:W,11,)))</f>
        <v/>
      </c>
      <c r="X178" s="18" t="str">
        <f>IF(OR(J178="Krankenstand",J178="Urlaub"),"",IF(J178="","",VLOOKUP(D178,Dienste!C:W,12,)))</f>
        <v/>
      </c>
      <c r="Y178" s="19" t="str">
        <f>IF(OR(J178="Krankenstand",J178="Urlaub"),"",IF(J178="","",VLOOKUP(D178,Dienste!C:W,14,)))</f>
        <v/>
      </c>
      <c r="Z178" s="20" t="str">
        <f>IF(OR(J178="Krankenstand",J178="Urlaub"),"",IF(J178="","",VLOOKUP(D178,Dienste!C:W,15,)))</f>
        <v/>
      </c>
      <c r="AA178" s="124" t="str">
        <f t="shared" si="78"/>
        <v/>
      </c>
      <c r="AB178" s="19" t="str">
        <f t="shared" si="79"/>
        <v/>
      </c>
      <c r="AC178" s="126" t="str">
        <f>_xlfn.CONCAT(_xlfn.CONCAT(IF(I178="","",_xlfn.CONCAT("FT: ",I178,IF(J178="","","; "))),IF(B178&lt;Datenblatt!$B$9,"",IF(B178="","",IF(NOT(J178=""),SUBSTITUTE(SUBSTITUTE(SUBSTITUTE(J178," mR","")," oR","")," O",""),"")))),IF(AF178="","",_xlfn.CONCAT(CHAR(10),"; ",AF178)))</f>
        <v/>
      </c>
      <c r="AD178" s="124" t="str">
        <f t="shared" si="88"/>
        <v/>
      </c>
      <c r="AE178" s="19">
        <f t="shared" si="80"/>
        <v>0</v>
      </c>
      <c r="AF178" s="156"/>
    </row>
    <row r="179" spans="2:32" s="9" customFormat="1" ht="13">
      <c r="B179" s="6">
        <f t="shared" si="81"/>
        <v>44701</v>
      </c>
      <c r="C179" s="45">
        <f>SMALL(Daten!W:W,COUNTIF(Daten!W:W,"&lt;"&amp;Stundenaufzeichnung!B179+1))</f>
        <v>44578</v>
      </c>
      <c r="D179" s="45" t="str">
        <f t="shared" si="76"/>
        <v/>
      </c>
      <c r="E179" s="8">
        <f t="shared" si="77"/>
        <v>7</v>
      </c>
      <c r="F179" s="8">
        <f t="shared" si="82"/>
        <v>5</v>
      </c>
      <c r="G179" s="8">
        <f>IF(B179="","",VLOOKUP(E179,Datenblatt!$L$2:$N$8,3,FALSE))</f>
        <v>0</v>
      </c>
      <c r="H179" s="8" t="str">
        <f t="shared" si="83"/>
        <v/>
      </c>
      <c r="I179" s="11" t="str">
        <f>IFERROR(VLOOKUP(B179,Datenblatt!$E:$F,2,FALSE),"")</f>
        <v/>
      </c>
      <c r="J179" s="113"/>
      <c r="K179" s="19">
        <f>IF(B179&lt;Datenblatt!$B$9,"",IF(B179="","",IF(G179=0,Datenblatt!$B$7,"")))</f>
        <v>6.67</v>
      </c>
      <c r="L179" s="19" t="str">
        <f t="shared" si="84"/>
        <v/>
      </c>
      <c r="M179" s="124" t="str">
        <f t="shared" si="85"/>
        <v/>
      </c>
      <c r="N179" s="124" t="str">
        <f>IF(AND(L179=Datenblatt!$B$7,NOT(L178=Datenblatt!$B$7),NOT(L180=Datenblatt!$B$7)),"y",IF(AND(L179=Datenblatt!$B$7,L180=Datenblatt!$B$7,NOT(L178=Datenblatt!$B$7)),"a",IF(AND(L179=Datenblatt!$B$7,L178=Datenblatt!$B$7,NOT(L180=Datenblatt!$B$7)),"b","")))</f>
        <v/>
      </c>
      <c r="O179" s="19" t="str">
        <f t="shared" si="86"/>
        <v/>
      </c>
      <c r="P179" s="124" t="str">
        <f>IF(AND(M179=Datenblatt!$B$7,NOT(M178=Datenblatt!$B$7),NOT(M180=Datenblatt!$B$7)),"y",IF(AND(M179=Datenblatt!$B$7,M180=Datenblatt!$B$7,NOT(M178=Datenblatt!$B$7)),"a",IF(AND(M179=Datenblatt!$B$7,M178=Datenblatt!$B$7,NOT(M180=Datenblatt!$B$7)),"b","")))</f>
        <v/>
      </c>
      <c r="Q179" s="19" t="str">
        <f t="shared" si="87"/>
        <v/>
      </c>
      <c r="R179" s="124" t="str">
        <f>IF(I179="","",IF(AND(OR(J179="Krankenstand",J179="Urlaub",J179=""), AND(G179=0,NOT(I179=""))),Datenblatt!$B$7,""))</f>
        <v/>
      </c>
      <c r="S179" s="19" t="str">
        <f>IF(OR(J179="Krankenstand",J179="Urlaub"),"",IF(J179="","",VLOOKUP(D179,Dienste!C:W,21,)))</f>
        <v/>
      </c>
      <c r="T179" s="18" t="str">
        <f>IF(OR(J179="Krankenstand",J179="Urlaub"),"",IF(J179="","",VLOOKUP(D179,Dienste!C:W,5,)))</f>
        <v/>
      </c>
      <c r="U179" s="18" t="str">
        <f>IF(OR(J179="Krankenstand",J179="Urlaub"),"",IF(J179="","",VLOOKUP(D179,Dienste!C:W,6,)))</f>
        <v/>
      </c>
      <c r="V179" s="18" t="str">
        <f>IF(OR(J179="Krankenstand",J179="Urlaub"),"",IF(J179="","",VLOOKUP(D179,Dienste!C:W,7,)))</f>
        <v/>
      </c>
      <c r="W179" s="18" t="str">
        <f>IF(OR(J179="Krankenstand",J179="Urlaub"),"",IF(J179="","",VLOOKUP(D179,Dienste!C:W,11,)))</f>
        <v/>
      </c>
      <c r="X179" s="18" t="str">
        <f>IF(OR(J179="Krankenstand",J179="Urlaub"),"",IF(J179="","",VLOOKUP(D179,Dienste!C:W,12,)))</f>
        <v/>
      </c>
      <c r="Y179" s="19" t="str">
        <f>IF(OR(J179="Krankenstand",J179="Urlaub"),"",IF(J179="","",VLOOKUP(D179,Dienste!C:W,14,)))</f>
        <v/>
      </c>
      <c r="Z179" s="20" t="str">
        <f>IF(OR(J179="Krankenstand",J179="Urlaub"),"",IF(J179="","",VLOOKUP(D179,Dienste!C:W,15,)))</f>
        <v/>
      </c>
      <c r="AA179" s="124" t="str">
        <f t="shared" si="78"/>
        <v/>
      </c>
      <c r="AB179" s="19" t="str">
        <f t="shared" si="79"/>
        <v/>
      </c>
      <c r="AC179" s="126" t="str">
        <f>_xlfn.CONCAT(_xlfn.CONCAT(IF(I179="","",_xlfn.CONCAT("FT: ",I179,IF(J179="","","; "))),IF(B179&lt;Datenblatt!$B$9,"",IF(B179="","",IF(NOT(J179=""),SUBSTITUTE(SUBSTITUTE(SUBSTITUTE(J179," mR","")," oR","")," O",""),"")))),IF(AF179="","",_xlfn.CONCAT(CHAR(10),"; ",AF179)))</f>
        <v/>
      </c>
      <c r="AD179" s="124" t="str">
        <f t="shared" si="88"/>
        <v/>
      </c>
      <c r="AE179" s="19">
        <f t="shared" si="80"/>
        <v>0</v>
      </c>
      <c r="AF179" s="156"/>
    </row>
    <row r="180" spans="2:32" s="9" customFormat="1" ht="13">
      <c r="B180" s="6">
        <f t="shared" si="81"/>
        <v>44702</v>
      </c>
      <c r="C180" s="45">
        <f>SMALL(Daten!W:W,COUNTIF(Daten!W:W,"&lt;"&amp;Stundenaufzeichnung!B180+1))</f>
        <v>44578</v>
      </c>
      <c r="D180" s="45" t="str">
        <f t="shared" si="76"/>
        <v/>
      </c>
      <c r="E180" s="8">
        <f t="shared" si="77"/>
        <v>1</v>
      </c>
      <c r="F180" s="8">
        <f t="shared" si="82"/>
        <v>6</v>
      </c>
      <c r="G180" s="8">
        <f>IF(B180="","",VLOOKUP(E180,Datenblatt!$L$2:$N$8,3,FALSE))</f>
        <v>0</v>
      </c>
      <c r="H180" s="8" t="str">
        <f t="shared" si="83"/>
        <v/>
      </c>
      <c r="I180" s="11" t="str">
        <f>IFERROR(VLOOKUP(B180,Datenblatt!$E:$F,2,FALSE),"")</f>
        <v/>
      </c>
      <c r="J180" s="113"/>
      <c r="K180" s="19">
        <f>IF(B180&lt;Datenblatt!$B$9,"",IF(B180="","",IF(G180=0,Datenblatt!$B$7,"")))</f>
        <v>6.67</v>
      </c>
      <c r="L180" s="19" t="str">
        <f t="shared" si="84"/>
        <v/>
      </c>
      <c r="M180" s="124" t="str">
        <f t="shared" si="85"/>
        <v/>
      </c>
      <c r="N180" s="124" t="str">
        <f>IF(AND(L180=Datenblatt!$B$7,NOT(L179=Datenblatt!$B$7),NOT(L181=Datenblatt!$B$7)),"y",IF(AND(L180=Datenblatt!$B$7,L181=Datenblatt!$B$7,NOT(L179=Datenblatt!$B$7)),"a",IF(AND(L180=Datenblatt!$B$7,L179=Datenblatt!$B$7,NOT(L181=Datenblatt!$B$7)),"b","")))</f>
        <v/>
      </c>
      <c r="O180" s="19" t="str">
        <f t="shared" si="86"/>
        <v/>
      </c>
      <c r="P180" s="124" t="str">
        <f>IF(AND(M180=Datenblatt!$B$7,NOT(M179=Datenblatt!$B$7),NOT(M181=Datenblatt!$B$7)),"y",IF(AND(M180=Datenblatt!$B$7,M181=Datenblatt!$B$7,NOT(M179=Datenblatt!$B$7)),"a",IF(AND(M180=Datenblatt!$B$7,M179=Datenblatt!$B$7,NOT(M181=Datenblatt!$B$7)),"b","")))</f>
        <v/>
      </c>
      <c r="Q180" s="19" t="str">
        <f t="shared" si="87"/>
        <v/>
      </c>
      <c r="R180" s="124" t="str">
        <f>IF(I180="","",IF(AND(OR(J180="Krankenstand",J180="Urlaub",J180=""), AND(G180=0,NOT(I180=""))),Datenblatt!$B$7,""))</f>
        <v/>
      </c>
      <c r="S180" s="19" t="str">
        <f>IF(OR(J180="Krankenstand",J180="Urlaub"),"",IF(J180="","",VLOOKUP(D180,Dienste!C:W,21,)))</f>
        <v/>
      </c>
      <c r="T180" s="18" t="str">
        <f>IF(OR(J180="Krankenstand",J180="Urlaub"),"",IF(J180="","",VLOOKUP(D180,Dienste!C:W,5,)))</f>
        <v/>
      </c>
      <c r="U180" s="18" t="str">
        <f>IF(OR(J180="Krankenstand",J180="Urlaub"),"",IF(J180="","",VLOOKUP(D180,Dienste!C:W,6,)))</f>
        <v/>
      </c>
      <c r="V180" s="18" t="str">
        <f>IF(OR(J180="Krankenstand",J180="Urlaub"),"",IF(J180="","",VLOOKUP(D180,Dienste!C:W,7,)))</f>
        <v/>
      </c>
      <c r="W180" s="18" t="str">
        <f>IF(OR(J180="Krankenstand",J180="Urlaub"),"",IF(J180="","",VLOOKUP(D180,Dienste!C:W,11,)))</f>
        <v/>
      </c>
      <c r="X180" s="18" t="str">
        <f>IF(OR(J180="Krankenstand",J180="Urlaub"),"",IF(J180="","",VLOOKUP(D180,Dienste!C:W,12,)))</f>
        <v/>
      </c>
      <c r="Y180" s="19" t="str">
        <f>IF(OR(J180="Krankenstand",J180="Urlaub"),"",IF(J180="","",VLOOKUP(D180,Dienste!C:W,14,)))</f>
        <v/>
      </c>
      <c r="Z180" s="20" t="str">
        <f>IF(OR(J180="Krankenstand",J180="Urlaub"),"",IF(J180="","",VLOOKUP(D180,Dienste!C:W,15,)))</f>
        <v/>
      </c>
      <c r="AA180" s="124" t="str">
        <f t="shared" si="78"/>
        <v/>
      </c>
      <c r="AB180" s="19" t="str">
        <f t="shared" si="79"/>
        <v/>
      </c>
      <c r="AC180" s="126" t="str">
        <f>_xlfn.CONCAT(_xlfn.CONCAT(IF(I180="","",_xlfn.CONCAT("FT: ",I180,IF(J180="","","; "))),IF(B180&lt;Datenblatt!$B$9,"",IF(B180="","",IF(NOT(J180=""),SUBSTITUTE(SUBSTITUTE(SUBSTITUTE(J180," mR","")," oR","")," O",""),"")))),IF(AF180="","",_xlfn.CONCAT(CHAR(10),"; ",AF180)))</f>
        <v/>
      </c>
      <c r="AD180" s="124" t="str">
        <f t="shared" si="88"/>
        <v/>
      </c>
      <c r="AE180" s="19">
        <f t="shared" si="80"/>
        <v>0</v>
      </c>
      <c r="AF180" s="156"/>
    </row>
    <row r="181" spans="2:32" s="9" customFormat="1" ht="13">
      <c r="B181" s="6">
        <f t="shared" si="81"/>
        <v>44703</v>
      </c>
      <c r="C181" s="45">
        <f>SMALL(Daten!W:W,COUNTIF(Daten!W:W,"&lt;"&amp;Stundenaufzeichnung!B181+1))</f>
        <v>44578</v>
      </c>
      <c r="D181" s="45" t="str">
        <f t="shared" si="76"/>
        <v/>
      </c>
      <c r="E181" s="8">
        <f t="shared" si="77"/>
        <v>2</v>
      </c>
      <c r="F181" s="8">
        <f t="shared" si="82"/>
        <v>7</v>
      </c>
      <c r="G181" s="8">
        <f>IF(B181="","",VLOOKUP(E181,Datenblatt!$L$2:$N$8,3,FALSE))</f>
        <v>1</v>
      </c>
      <c r="H181" s="8" t="str">
        <f t="shared" si="83"/>
        <v>x</v>
      </c>
      <c r="I181" s="11" t="str">
        <f>IFERROR(VLOOKUP(B181,Datenblatt!$E:$F,2,FALSE),"")</f>
        <v/>
      </c>
      <c r="J181" s="113"/>
      <c r="K181" s="19" t="str">
        <f>IF(B181&lt;Datenblatt!$B$9,"",IF(B181="","",IF(G181=0,Datenblatt!$B$7,"")))</f>
        <v/>
      </c>
      <c r="L181" s="19" t="str">
        <f t="shared" si="84"/>
        <v/>
      </c>
      <c r="M181" s="124" t="str">
        <f t="shared" si="85"/>
        <v/>
      </c>
      <c r="N181" s="124" t="str">
        <f>IF(AND(L181=Datenblatt!$B$7,NOT(L180=Datenblatt!$B$7),NOT(L182=Datenblatt!$B$7)),"y",IF(AND(L181=Datenblatt!$B$7,L182=Datenblatt!$B$7,NOT(L180=Datenblatt!$B$7)),"a",IF(AND(L181=Datenblatt!$B$7,L180=Datenblatt!$B$7,NOT(L182=Datenblatt!$B$7)),"b","")))</f>
        <v/>
      </c>
      <c r="O181" s="19" t="str">
        <f t="shared" si="86"/>
        <v/>
      </c>
      <c r="P181" s="124" t="str">
        <f>IF(AND(M181=Datenblatt!$B$7,NOT(M180=Datenblatt!$B$7),NOT(M182=Datenblatt!$B$7)),"y",IF(AND(M181=Datenblatt!$B$7,M182=Datenblatt!$B$7,NOT(M180=Datenblatt!$B$7)),"a",IF(AND(M181=Datenblatt!$B$7,M180=Datenblatt!$B$7,NOT(M182=Datenblatt!$B$7)),"b","")))</f>
        <v/>
      </c>
      <c r="Q181" s="19" t="str">
        <f t="shared" si="87"/>
        <v/>
      </c>
      <c r="R181" s="124" t="str">
        <f>IF(I181="","",IF(AND(OR(J181="Krankenstand",J181="Urlaub",J181=""), AND(G181=0,NOT(I181=""))),Datenblatt!$B$7,""))</f>
        <v/>
      </c>
      <c r="S181" s="19" t="str">
        <f>IF(OR(J181="Krankenstand",J181="Urlaub"),"",IF(J181="","",VLOOKUP(D181,Dienste!C:W,21,)))</f>
        <v/>
      </c>
      <c r="T181" s="18" t="str">
        <f>IF(OR(J181="Krankenstand",J181="Urlaub"),"",IF(J181="","",VLOOKUP(D181,Dienste!C:W,5,)))</f>
        <v/>
      </c>
      <c r="U181" s="18" t="str">
        <f>IF(OR(J181="Krankenstand",J181="Urlaub"),"",IF(J181="","",VLOOKUP(D181,Dienste!C:W,6,)))</f>
        <v/>
      </c>
      <c r="V181" s="18" t="str">
        <f>IF(OR(J181="Krankenstand",J181="Urlaub"),"",IF(J181="","",VLOOKUP(D181,Dienste!C:W,7,)))</f>
        <v/>
      </c>
      <c r="W181" s="18" t="str">
        <f>IF(OR(J181="Krankenstand",J181="Urlaub"),"",IF(J181="","",VLOOKUP(D181,Dienste!C:W,11,)))</f>
        <v/>
      </c>
      <c r="X181" s="18" t="str">
        <f>IF(OR(J181="Krankenstand",J181="Urlaub"),"",IF(J181="","",VLOOKUP(D181,Dienste!C:W,12,)))</f>
        <v/>
      </c>
      <c r="Y181" s="19" t="str">
        <f>IF(OR(J181="Krankenstand",J181="Urlaub"),"",IF(J181="","",VLOOKUP(D181,Dienste!C:W,14,)))</f>
        <v/>
      </c>
      <c r="Z181" s="20" t="str">
        <f>IF(OR(J181="Krankenstand",J181="Urlaub"),"",IF(J181="","",VLOOKUP(D181,Dienste!C:W,15,)))</f>
        <v/>
      </c>
      <c r="AA181" s="124" t="str">
        <f t="shared" si="78"/>
        <v/>
      </c>
      <c r="AB181" s="19" t="str">
        <f t="shared" si="79"/>
        <v/>
      </c>
      <c r="AC181" s="126" t="str">
        <f>_xlfn.CONCAT(_xlfn.CONCAT(IF(I181="","",_xlfn.CONCAT("FT: ",I181,IF(J181="","","; "))),IF(B181&lt;Datenblatt!$B$9,"",IF(B181="","",IF(NOT(J181=""),SUBSTITUTE(SUBSTITUTE(SUBSTITUTE(J181," mR","")," oR","")," O",""),"")))),IF(AF181="","",_xlfn.CONCAT(CHAR(10),"; ",AF181)))</f>
        <v/>
      </c>
      <c r="AD181" s="124" t="str">
        <f t="shared" si="88"/>
        <v/>
      </c>
      <c r="AE181" s="19">
        <f t="shared" si="80"/>
        <v>0</v>
      </c>
      <c r="AF181" s="156"/>
    </row>
    <row r="182" spans="2:32" s="9" customFormat="1" ht="13">
      <c r="B182" s="6">
        <f t="shared" si="81"/>
        <v>44704</v>
      </c>
      <c r="C182" s="45">
        <f>SMALL(Daten!W:W,COUNTIF(Daten!W:W,"&lt;"&amp;Stundenaufzeichnung!B182+1))</f>
        <v>44578</v>
      </c>
      <c r="D182" s="45" t="str">
        <f t="shared" si="76"/>
        <v/>
      </c>
      <c r="E182" s="8">
        <f t="shared" si="77"/>
        <v>3</v>
      </c>
      <c r="F182" s="8">
        <f t="shared" si="82"/>
        <v>1</v>
      </c>
      <c r="G182" s="8">
        <f>IF(B182="","",VLOOKUP(E182,Datenblatt!$L$2:$N$8,3,FALSE))</f>
        <v>0</v>
      </c>
      <c r="H182" s="8" t="str">
        <f t="shared" si="83"/>
        <v/>
      </c>
      <c r="I182" s="11" t="str">
        <f>IFERROR(VLOOKUP(B182,Datenblatt!$E:$F,2,FALSE),"")</f>
        <v/>
      </c>
      <c r="J182" s="113"/>
      <c r="K182" s="19">
        <f>IF(B182&lt;Datenblatt!$B$9,"",IF(B182="","",IF(G182=0,Datenblatt!$B$7,"")))</f>
        <v>6.67</v>
      </c>
      <c r="L182" s="19" t="str">
        <f t="shared" si="84"/>
        <v/>
      </c>
      <c r="M182" s="124" t="str">
        <f t="shared" si="85"/>
        <v/>
      </c>
      <c r="N182" s="124" t="str">
        <f>IF(AND(L182=Datenblatt!$B$7,NOT(L181=Datenblatt!$B$7),NOT(L183=Datenblatt!$B$7)),"y",IF(AND(L182=Datenblatt!$B$7,L183=Datenblatt!$B$7,NOT(L181=Datenblatt!$B$7)),"a",IF(AND(L182=Datenblatt!$B$7,L181=Datenblatt!$B$7,NOT(L183=Datenblatt!$B$7)),"b","")))</f>
        <v/>
      </c>
      <c r="O182" s="19" t="str">
        <f t="shared" si="86"/>
        <v/>
      </c>
      <c r="P182" s="124" t="str">
        <f>IF(AND(M182=Datenblatt!$B$7,NOT(M181=Datenblatt!$B$7),NOT(M183=Datenblatt!$B$7)),"y",IF(AND(M182=Datenblatt!$B$7,M183=Datenblatt!$B$7,NOT(M181=Datenblatt!$B$7)),"a",IF(AND(M182=Datenblatt!$B$7,M181=Datenblatt!$B$7,NOT(M183=Datenblatt!$B$7)),"b","")))</f>
        <v/>
      </c>
      <c r="Q182" s="19" t="str">
        <f t="shared" si="87"/>
        <v/>
      </c>
      <c r="R182" s="124" t="str">
        <f>IF(I182="","",IF(AND(OR(J182="Krankenstand",J182="Urlaub",J182=""), AND(G182=0,NOT(I182=""))),Datenblatt!$B$7,""))</f>
        <v/>
      </c>
      <c r="S182" s="19" t="str">
        <f>IF(OR(J182="Krankenstand",J182="Urlaub"),"",IF(J182="","",VLOOKUP(D182,Dienste!C:W,21,)))</f>
        <v/>
      </c>
      <c r="T182" s="18" t="str">
        <f>IF(OR(J182="Krankenstand",J182="Urlaub"),"",IF(J182="","",VLOOKUP(D182,Dienste!C:W,5,)))</f>
        <v/>
      </c>
      <c r="U182" s="18" t="str">
        <f>IF(OR(J182="Krankenstand",J182="Urlaub"),"",IF(J182="","",VLOOKUP(D182,Dienste!C:W,6,)))</f>
        <v/>
      </c>
      <c r="V182" s="18" t="str">
        <f>IF(OR(J182="Krankenstand",J182="Urlaub"),"",IF(J182="","",VLOOKUP(D182,Dienste!C:W,7,)))</f>
        <v/>
      </c>
      <c r="W182" s="18" t="str">
        <f>IF(OR(J182="Krankenstand",J182="Urlaub"),"",IF(J182="","",VLOOKUP(D182,Dienste!C:W,11,)))</f>
        <v/>
      </c>
      <c r="X182" s="18" t="str">
        <f>IF(OR(J182="Krankenstand",J182="Urlaub"),"",IF(J182="","",VLOOKUP(D182,Dienste!C:W,12,)))</f>
        <v/>
      </c>
      <c r="Y182" s="19" t="str">
        <f>IF(OR(J182="Krankenstand",J182="Urlaub"),"",IF(J182="","",VLOOKUP(D182,Dienste!C:W,14,)))</f>
        <v/>
      </c>
      <c r="Z182" s="20" t="str">
        <f>IF(OR(J182="Krankenstand",J182="Urlaub"),"",IF(J182="","",VLOOKUP(D182,Dienste!C:W,15,)))</f>
        <v/>
      </c>
      <c r="AA182" s="124" t="str">
        <f t="shared" si="78"/>
        <v/>
      </c>
      <c r="AB182" s="19" t="str">
        <f t="shared" si="79"/>
        <v/>
      </c>
      <c r="AC182" s="126" t="str">
        <f>_xlfn.CONCAT(_xlfn.CONCAT(IF(I182="","",_xlfn.CONCAT("FT: ",I182,IF(J182="","","; "))),IF(B182&lt;Datenblatt!$B$9,"",IF(B182="","",IF(NOT(J182=""),SUBSTITUTE(SUBSTITUTE(SUBSTITUTE(J182," mR","")," oR","")," O",""),"")))),IF(AF182="","",_xlfn.CONCAT(CHAR(10),"; ",AF182)))</f>
        <v/>
      </c>
      <c r="AD182" s="124" t="str">
        <f t="shared" si="88"/>
        <v/>
      </c>
      <c r="AE182" s="19">
        <f t="shared" si="80"/>
        <v>0</v>
      </c>
      <c r="AF182" s="156"/>
    </row>
    <row r="183" spans="2:32" s="9" customFormat="1" ht="13">
      <c r="B183" s="6">
        <f t="shared" si="81"/>
        <v>44705</v>
      </c>
      <c r="C183" s="45">
        <f>SMALL(Daten!W:W,COUNTIF(Daten!W:W,"&lt;"&amp;Stundenaufzeichnung!B183+1))</f>
        <v>44578</v>
      </c>
      <c r="D183" s="45" t="str">
        <f t="shared" si="76"/>
        <v/>
      </c>
      <c r="E183" s="8">
        <f t="shared" si="77"/>
        <v>4</v>
      </c>
      <c r="F183" s="8">
        <f t="shared" si="82"/>
        <v>2</v>
      </c>
      <c r="G183" s="8">
        <f>IF(B183="","",VLOOKUP(E183,Datenblatt!$L$2:$N$8,3,FALSE))</f>
        <v>0</v>
      </c>
      <c r="H183" s="8" t="str">
        <f t="shared" si="83"/>
        <v/>
      </c>
      <c r="I183" s="11" t="str">
        <f>IFERROR(VLOOKUP(B183,Datenblatt!$E:$F,2,FALSE),"")</f>
        <v/>
      </c>
      <c r="J183" s="113"/>
      <c r="K183" s="19">
        <f>IF(B183&lt;Datenblatt!$B$9,"",IF(B183="","",IF(G183=0,Datenblatt!$B$7,"")))</f>
        <v>6.67</v>
      </c>
      <c r="L183" s="19" t="str">
        <f t="shared" si="84"/>
        <v/>
      </c>
      <c r="M183" s="124" t="str">
        <f t="shared" si="85"/>
        <v/>
      </c>
      <c r="N183" s="124" t="str">
        <f>IF(AND(L183=Datenblatt!$B$7,NOT(L182=Datenblatt!$B$7),NOT(L184=Datenblatt!$B$7)),"y",IF(AND(L183=Datenblatt!$B$7,L184=Datenblatt!$B$7,NOT(L182=Datenblatt!$B$7)),"a",IF(AND(L183=Datenblatt!$B$7,L182=Datenblatt!$B$7,NOT(L184=Datenblatt!$B$7)),"b","")))</f>
        <v/>
      </c>
      <c r="O183" s="19" t="str">
        <f t="shared" si="86"/>
        <v/>
      </c>
      <c r="P183" s="124" t="str">
        <f>IF(AND(M183=Datenblatt!$B$7,NOT(M182=Datenblatt!$B$7),NOT(M184=Datenblatt!$B$7)),"y",IF(AND(M183=Datenblatt!$B$7,M184=Datenblatt!$B$7,NOT(M182=Datenblatt!$B$7)),"a",IF(AND(M183=Datenblatt!$B$7,M182=Datenblatt!$B$7,NOT(M184=Datenblatt!$B$7)),"b","")))</f>
        <v/>
      </c>
      <c r="Q183" s="19" t="str">
        <f t="shared" si="87"/>
        <v/>
      </c>
      <c r="R183" s="124" t="str">
        <f>IF(I183="","",IF(AND(OR(J183="Krankenstand",J183="Urlaub",J183=""), AND(G183=0,NOT(I183=""))),Datenblatt!$B$7,""))</f>
        <v/>
      </c>
      <c r="S183" s="19" t="str">
        <f>IF(OR(J183="Krankenstand",J183="Urlaub"),"",IF(J183="","",VLOOKUP(D183,Dienste!C:W,21,)))</f>
        <v/>
      </c>
      <c r="T183" s="18" t="str">
        <f>IF(OR(J183="Krankenstand",J183="Urlaub"),"",IF(J183="","",VLOOKUP(D183,Dienste!C:W,5,)))</f>
        <v/>
      </c>
      <c r="U183" s="18" t="str">
        <f>IF(OR(J183="Krankenstand",J183="Urlaub"),"",IF(J183="","",VLOOKUP(D183,Dienste!C:W,6,)))</f>
        <v/>
      </c>
      <c r="V183" s="18" t="str">
        <f>IF(OR(J183="Krankenstand",J183="Urlaub"),"",IF(J183="","",VLOOKUP(D183,Dienste!C:W,7,)))</f>
        <v/>
      </c>
      <c r="W183" s="18" t="str">
        <f>IF(OR(J183="Krankenstand",J183="Urlaub"),"",IF(J183="","",VLOOKUP(D183,Dienste!C:W,11,)))</f>
        <v/>
      </c>
      <c r="X183" s="18" t="str">
        <f>IF(OR(J183="Krankenstand",J183="Urlaub"),"",IF(J183="","",VLOOKUP(D183,Dienste!C:W,12,)))</f>
        <v/>
      </c>
      <c r="Y183" s="19" t="str">
        <f>IF(OR(J183="Krankenstand",J183="Urlaub"),"",IF(J183="","",VLOOKUP(D183,Dienste!C:W,14,)))</f>
        <v/>
      </c>
      <c r="Z183" s="20" t="str">
        <f>IF(OR(J183="Krankenstand",J183="Urlaub"),"",IF(J183="","",VLOOKUP(D183,Dienste!C:W,15,)))</f>
        <v/>
      </c>
      <c r="AA183" s="124" t="str">
        <f t="shared" si="78"/>
        <v/>
      </c>
      <c r="AB183" s="19" t="str">
        <f t="shared" si="79"/>
        <v/>
      </c>
      <c r="AC183" s="126" t="str">
        <f>_xlfn.CONCAT(_xlfn.CONCAT(IF(I183="","",_xlfn.CONCAT("FT: ",I183,IF(J183="","","; "))),IF(B183&lt;Datenblatt!$B$9,"",IF(B183="","",IF(NOT(J183=""),SUBSTITUTE(SUBSTITUTE(SUBSTITUTE(J183," mR","")," oR","")," O",""),"")))),IF(AF183="","",_xlfn.CONCAT(CHAR(10),"; ",AF183)))</f>
        <v/>
      </c>
      <c r="AD183" s="124" t="str">
        <f t="shared" si="88"/>
        <v/>
      </c>
      <c r="AE183" s="19">
        <f t="shared" si="80"/>
        <v>0</v>
      </c>
      <c r="AF183" s="156"/>
    </row>
    <row r="184" spans="2:32" s="9" customFormat="1" ht="13">
      <c r="B184" s="6">
        <f t="shared" si="81"/>
        <v>44706</v>
      </c>
      <c r="C184" s="45">
        <f>SMALL(Daten!W:W,COUNTIF(Daten!W:W,"&lt;"&amp;Stundenaufzeichnung!B184+1))</f>
        <v>44578</v>
      </c>
      <c r="D184" s="45" t="str">
        <f t="shared" si="76"/>
        <v/>
      </c>
      <c r="E184" s="8">
        <f t="shared" si="77"/>
        <v>5</v>
      </c>
      <c r="F184" s="8">
        <f t="shared" si="82"/>
        <v>3</v>
      </c>
      <c r="G184" s="8">
        <f>IF(B184="","",VLOOKUP(E184,Datenblatt!$L$2:$N$8,3,FALSE))</f>
        <v>0</v>
      </c>
      <c r="H184" s="8" t="str">
        <f t="shared" si="83"/>
        <v/>
      </c>
      <c r="I184" s="11" t="str">
        <f>IFERROR(VLOOKUP(B184,Datenblatt!$E:$F,2,FALSE),"")</f>
        <v/>
      </c>
      <c r="J184" s="113"/>
      <c r="K184" s="19">
        <f>IF(B184&lt;Datenblatt!$B$9,"",IF(B184="","",IF(G184=0,Datenblatt!$B$7,"")))</f>
        <v>6.67</v>
      </c>
      <c r="L184" s="19" t="str">
        <f t="shared" si="84"/>
        <v/>
      </c>
      <c r="M184" s="124" t="str">
        <f t="shared" si="85"/>
        <v/>
      </c>
      <c r="N184" s="124" t="str">
        <f>IF(AND(L184=Datenblatt!$B$7,NOT(L183=Datenblatt!$B$7),NOT(L185=Datenblatt!$B$7)),"y",IF(AND(L184=Datenblatt!$B$7,L185=Datenblatt!$B$7,NOT(L183=Datenblatt!$B$7)),"a",IF(AND(L184=Datenblatt!$B$7,L183=Datenblatt!$B$7,NOT(L185=Datenblatt!$B$7)),"b","")))</f>
        <v/>
      </c>
      <c r="O184" s="19" t="str">
        <f t="shared" si="86"/>
        <v/>
      </c>
      <c r="P184" s="124" t="str">
        <f>IF(AND(M184=Datenblatt!$B$7,NOT(M183=Datenblatt!$B$7),NOT(M185=Datenblatt!$B$7)),"y",IF(AND(M184=Datenblatt!$B$7,M185=Datenblatt!$B$7,NOT(M183=Datenblatt!$B$7)),"a",IF(AND(M184=Datenblatt!$B$7,M183=Datenblatt!$B$7,NOT(M185=Datenblatt!$B$7)),"b","")))</f>
        <v/>
      </c>
      <c r="Q184" s="19" t="str">
        <f t="shared" si="87"/>
        <v/>
      </c>
      <c r="R184" s="124" t="str">
        <f>IF(I184="","",IF(AND(OR(J184="Krankenstand",J184="Urlaub",J184=""), AND(G184=0,NOT(I184=""))),Datenblatt!$B$7,""))</f>
        <v/>
      </c>
      <c r="S184" s="19" t="str">
        <f>IF(OR(J184="Krankenstand",J184="Urlaub"),"",IF(J184="","",VLOOKUP(D184,Dienste!C:W,21,)))</f>
        <v/>
      </c>
      <c r="T184" s="18" t="str">
        <f>IF(OR(J184="Krankenstand",J184="Urlaub"),"",IF(J184="","",VLOOKUP(D184,Dienste!C:W,5,)))</f>
        <v/>
      </c>
      <c r="U184" s="18" t="str">
        <f>IF(OR(J184="Krankenstand",J184="Urlaub"),"",IF(J184="","",VLOOKUP(D184,Dienste!C:W,6,)))</f>
        <v/>
      </c>
      <c r="V184" s="18" t="str">
        <f>IF(OR(J184="Krankenstand",J184="Urlaub"),"",IF(J184="","",VLOOKUP(D184,Dienste!C:W,7,)))</f>
        <v/>
      </c>
      <c r="W184" s="18" t="str">
        <f>IF(OR(J184="Krankenstand",J184="Urlaub"),"",IF(J184="","",VLOOKUP(D184,Dienste!C:W,11,)))</f>
        <v/>
      </c>
      <c r="X184" s="18" t="str">
        <f>IF(OR(J184="Krankenstand",J184="Urlaub"),"",IF(J184="","",VLOOKUP(D184,Dienste!C:W,12,)))</f>
        <v/>
      </c>
      <c r="Y184" s="19" t="str">
        <f>IF(OR(J184="Krankenstand",J184="Urlaub"),"",IF(J184="","",VLOOKUP(D184,Dienste!C:W,14,)))</f>
        <v/>
      </c>
      <c r="Z184" s="20" t="str">
        <f>IF(OR(J184="Krankenstand",J184="Urlaub"),"",IF(J184="","",VLOOKUP(D184,Dienste!C:W,15,)))</f>
        <v/>
      </c>
      <c r="AA184" s="124" t="str">
        <f t="shared" si="78"/>
        <v/>
      </c>
      <c r="AB184" s="19" t="str">
        <f t="shared" si="79"/>
        <v/>
      </c>
      <c r="AC184" s="126" t="str">
        <f>_xlfn.CONCAT(_xlfn.CONCAT(IF(I184="","",_xlfn.CONCAT("FT: ",I184,IF(J184="","","; "))),IF(B184&lt;Datenblatt!$B$9,"",IF(B184="","",IF(NOT(J184=""),SUBSTITUTE(SUBSTITUTE(SUBSTITUTE(J184," mR","")," oR","")," O",""),"")))),IF(AF184="","",_xlfn.CONCAT(CHAR(10),"; ",AF184)))</f>
        <v/>
      </c>
      <c r="AD184" s="124" t="str">
        <f t="shared" si="88"/>
        <v/>
      </c>
      <c r="AE184" s="19">
        <f t="shared" si="80"/>
        <v>0</v>
      </c>
      <c r="AF184" s="156"/>
    </row>
    <row r="185" spans="2:32" s="9" customFormat="1" ht="13">
      <c r="B185" s="6">
        <f t="shared" si="81"/>
        <v>44707</v>
      </c>
      <c r="C185" s="45">
        <f>SMALL(Daten!W:W,COUNTIF(Daten!W:W,"&lt;"&amp;Stundenaufzeichnung!B185+1))</f>
        <v>44578</v>
      </c>
      <c r="D185" s="45" t="str">
        <f t="shared" si="76"/>
        <v/>
      </c>
      <c r="E185" s="8">
        <f t="shared" si="77"/>
        <v>6</v>
      </c>
      <c r="F185" s="8">
        <f t="shared" si="82"/>
        <v>4</v>
      </c>
      <c r="G185" s="8">
        <f>IF(B185="","",VLOOKUP(E185,Datenblatt!$L$2:$N$8,3,FALSE))</f>
        <v>0</v>
      </c>
      <c r="H185" s="8" t="str">
        <f t="shared" si="83"/>
        <v>x</v>
      </c>
      <c r="I185" s="11" t="str">
        <f>IFERROR(VLOOKUP(B185,Datenblatt!$E:$F,2,FALSE),"")</f>
        <v>Christi Himmelfahrt</v>
      </c>
      <c r="J185" s="113"/>
      <c r="K185" s="19">
        <f>IF(B185&lt;Datenblatt!$B$9,"",IF(B185="","",IF(G185=0,Datenblatt!$B$7,"")))</f>
        <v>6.67</v>
      </c>
      <c r="L185" s="19" t="str">
        <f t="shared" si="84"/>
        <v/>
      </c>
      <c r="M185" s="124" t="str">
        <f t="shared" si="85"/>
        <v/>
      </c>
      <c r="N185" s="124" t="str">
        <f>IF(AND(L185=Datenblatt!$B$7,NOT(L184=Datenblatt!$B$7),NOT(L186=Datenblatt!$B$7)),"y",IF(AND(L185=Datenblatt!$B$7,L186=Datenblatt!$B$7,NOT(L184=Datenblatt!$B$7)),"a",IF(AND(L185=Datenblatt!$B$7,L184=Datenblatt!$B$7,NOT(L186=Datenblatt!$B$7)),"b","")))</f>
        <v/>
      </c>
      <c r="O185" s="19" t="str">
        <f t="shared" si="86"/>
        <v/>
      </c>
      <c r="P185" s="124" t="str">
        <f>IF(AND(M185=Datenblatt!$B$7,NOT(M184=Datenblatt!$B$7),NOT(M186=Datenblatt!$B$7)),"y",IF(AND(M185=Datenblatt!$B$7,M186=Datenblatt!$B$7,NOT(M184=Datenblatt!$B$7)),"a",IF(AND(M185=Datenblatt!$B$7,M184=Datenblatt!$B$7,NOT(M186=Datenblatt!$B$7)),"b","")))</f>
        <v/>
      </c>
      <c r="Q185" s="19" t="str">
        <f t="shared" si="87"/>
        <v/>
      </c>
      <c r="R185" s="124">
        <f>IF(I185="","",IF(AND(OR(J185="Krankenstand",J185="Urlaub",J185=""), AND(G185=0,NOT(I185=""))),Datenblatt!$B$7,""))</f>
        <v>6.67</v>
      </c>
      <c r="S185" s="19" t="str">
        <f>IF(OR(J185="Krankenstand",J185="Urlaub"),"",IF(J185="","",VLOOKUP(D185,Dienste!C:W,21,)))</f>
        <v/>
      </c>
      <c r="T185" s="18" t="str">
        <f>IF(OR(J185="Krankenstand",J185="Urlaub"),"",IF(J185="","",VLOOKUP(D185,Dienste!C:W,5,)))</f>
        <v/>
      </c>
      <c r="U185" s="18" t="str">
        <f>IF(OR(J185="Krankenstand",J185="Urlaub"),"",IF(J185="","",VLOOKUP(D185,Dienste!C:W,6,)))</f>
        <v/>
      </c>
      <c r="V185" s="18" t="str">
        <f>IF(OR(J185="Krankenstand",J185="Urlaub"),"",IF(J185="","",VLOOKUP(D185,Dienste!C:W,7,)))</f>
        <v/>
      </c>
      <c r="W185" s="18" t="str">
        <f>IF(OR(J185="Krankenstand",J185="Urlaub"),"",IF(J185="","",VLOOKUP(D185,Dienste!C:W,11,)))</f>
        <v/>
      </c>
      <c r="X185" s="18" t="str">
        <f>IF(OR(J185="Krankenstand",J185="Urlaub"),"",IF(J185="","",VLOOKUP(D185,Dienste!C:W,12,)))</f>
        <v/>
      </c>
      <c r="Y185" s="19" t="str">
        <f>IF(OR(J185="Krankenstand",J185="Urlaub"),"",IF(J185="","",VLOOKUP(D185,Dienste!C:W,14,)))</f>
        <v/>
      </c>
      <c r="Z185" s="20" t="str">
        <f>IF(OR(J185="Krankenstand",J185="Urlaub"),"",IF(J185="","",VLOOKUP(D185,Dienste!C:W,15,)))</f>
        <v/>
      </c>
      <c r="AA185" s="124" t="str">
        <f t="shared" si="78"/>
        <v/>
      </c>
      <c r="AB185" s="19" t="str">
        <f t="shared" si="79"/>
        <v/>
      </c>
      <c r="AC185" s="126" t="str">
        <f>_xlfn.CONCAT(_xlfn.CONCAT(IF(I185="","",_xlfn.CONCAT("FT: ",I185,IF(J185="","","; "))),IF(B185&lt;Datenblatt!$B$9,"",IF(B185="","",IF(NOT(J185=""),SUBSTITUTE(SUBSTITUTE(SUBSTITUTE(J185," mR","")," oR","")," O",""),"")))),IF(AF185="","",_xlfn.CONCAT(CHAR(10),"; ",AF185)))</f>
        <v>FT: Christi Himmelfahrt</v>
      </c>
      <c r="AD185" s="124">
        <f t="shared" si="88"/>
        <v>6.67</v>
      </c>
      <c r="AE185" s="19">
        <f t="shared" si="80"/>
        <v>0</v>
      </c>
      <c r="AF185" s="156"/>
    </row>
    <row r="186" spans="2:32" s="9" customFormat="1" ht="13">
      <c r="B186" s="6">
        <f t="shared" si="81"/>
        <v>44708</v>
      </c>
      <c r="C186" s="45">
        <f>SMALL(Daten!W:W,COUNTIF(Daten!W:W,"&lt;"&amp;Stundenaufzeichnung!B186+1))</f>
        <v>44578</v>
      </c>
      <c r="D186" s="45" t="str">
        <f t="shared" si="76"/>
        <v/>
      </c>
      <c r="E186" s="8">
        <f t="shared" si="77"/>
        <v>7</v>
      </c>
      <c r="F186" s="8">
        <f t="shared" si="82"/>
        <v>5</v>
      </c>
      <c r="G186" s="8">
        <f>IF(B186="","",VLOOKUP(E186,Datenblatt!$L$2:$N$8,3,FALSE))</f>
        <v>0</v>
      </c>
      <c r="H186" s="8" t="str">
        <f t="shared" si="83"/>
        <v/>
      </c>
      <c r="I186" s="11" t="str">
        <f>IFERROR(VLOOKUP(B186,Datenblatt!$E:$F,2,FALSE),"")</f>
        <v/>
      </c>
      <c r="J186" s="113"/>
      <c r="K186" s="19">
        <f>IF(B186&lt;Datenblatt!$B$9,"",IF(B186="","",IF(G186=0,Datenblatt!$B$7,"")))</f>
        <v>6.67</v>
      </c>
      <c r="L186" s="19" t="str">
        <f t="shared" si="84"/>
        <v/>
      </c>
      <c r="M186" s="124" t="str">
        <f t="shared" si="85"/>
        <v/>
      </c>
      <c r="N186" s="124" t="str">
        <f>IF(AND(L186=Datenblatt!$B$7,NOT(L185=Datenblatt!$B$7),NOT(L187=Datenblatt!$B$7)),"y",IF(AND(L186=Datenblatt!$B$7,L187=Datenblatt!$B$7,NOT(L185=Datenblatt!$B$7)),"a",IF(AND(L186=Datenblatt!$B$7,L185=Datenblatt!$B$7,NOT(L187=Datenblatt!$B$7)),"b","")))</f>
        <v/>
      </c>
      <c r="O186" s="19" t="str">
        <f t="shared" si="86"/>
        <v/>
      </c>
      <c r="P186" s="124" t="str">
        <f>IF(AND(M186=Datenblatt!$B$7,NOT(M185=Datenblatt!$B$7),NOT(M187=Datenblatt!$B$7)),"y",IF(AND(M186=Datenblatt!$B$7,M187=Datenblatt!$B$7,NOT(M185=Datenblatt!$B$7)),"a",IF(AND(M186=Datenblatt!$B$7,M185=Datenblatt!$B$7,NOT(M187=Datenblatt!$B$7)),"b","")))</f>
        <v/>
      </c>
      <c r="Q186" s="19" t="str">
        <f t="shared" si="87"/>
        <v/>
      </c>
      <c r="R186" s="124" t="str">
        <f>IF(I186="","",IF(AND(OR(J186="Krankenstand",J186="Urlaub",J186=""), AND(G186=0,NOT(I186=""))),Datenblatt!$B$7,""))</f>
        <v/>
      </c>
      <c r="S186" s="19" t="str">
        <f>IF(OR(J186="Krankenstand",J186="Urlaub"),"",IF(J186="","",VLOOKUP(D186,Dienste!C:W,21,)))</f>
        <v/>
      </c>
      <c r="T186" s="18" t="str">
        <f>IF(OR(J186="Krankenstand",J186="Urlaub"),"",IF(J186="","",VLOOKUP(D186,Dienste!C:W,5,)))</f>
        <v/>
      </c>
      <c r="U186" s="18" t="str">
        <f>IF(OR(J186="Krankenstand",J186="Urlaub"),"",IF(J186="","",VLOOKUP(D186,Dienste!C:W,6,)))</f>
        <v/>
      </c>
      <c r="V186" s="18" t="str">
        <f>IF(OR(J186="Krankenstand",J186="Urlaub"),"",IF(J186="","",VLOOKUP(D186,Dienste!C:W,7,)))</f>
        <v/>
      </c>
      <c r="W186" s="18" t="str">
        <f>IF(OR(J186="Krankenstand",J186="Urlaub"),"",IF(J186="","",VLOOKUP(D186,Dienste!C:W,11,)))</f>
        <v/>
      </c>
      <c r="X186" s="18" t="str">
        <f>IF(OR(J186="Krankenstand",J186="Urlaub"),"",IF(J186="","",VLOOKUP(D186,Dienste!C:W,12,)))</f>
        <v/>
      </c>
      <c r="Y186" s="19" t="str">
        <f>IF(OR(J186="Krankenstand",J186="Urlaub"),"",IF(J186="","",VLOOKUP(D186,Dienste!C:W,14,)))</f>
        <v/>
      </c>
      <c r="Z186" s="20" t="str">
        <f>IF(OR(J186="Krankenstand",J186="Urlaub"),"",IF(J186="","",VLOOKUP(D186,Dienste!C:W,15,)))</f>
        <v/>
      </c>
      <c r="AA186" s="124" t="str">
        <f t="shared" si="78"/>
        <v/>
      </c>
      <c r="AB186" s="19" t="str">
        <f t="shared" si="79"/>
        <v/>
      </c>
      <c r="AC186" s="126" t="str">
        <f>_xlfn.CONCAT(_xlfn.CONCAT(IF(I186="","",_xlfn.CONCAT("FT: ",I186,IF(J186="","","; "))),IF(B186&lt;Datenblatt!$B$9,"",IF(B186="","",IF(NOT(J186=""),SUBSTITUTE(SUBSTITUTE(SUBSTITUTE(J186," mR","")," oR","")," O",""),"")))),IF(AF186="","",_xlfn.CONCAT(CHAR(10),"; ",AF186)))</f>
        <v/>
      </c>
      <c r="AD186" s="124" t="str">
        <f t="shared" si="88"/>
        <v/>
      </c>
      <c r="AE186" s="19">
        <f t="shared" si="80"/>
        <v>0</v>
      </c>
      <c r="AF186" s="156"/>
    </row>
    <row r="187" spans="2:32" s="9" customFormat="1" ht="13">
      <c r="B187" s="6">
        <f t="shared" si="81"/>
        <v>44709</v>
      </c>
      <c r="C187" s="45">
        <f>SMALL(Daten!W:W,COUNTIF(Daten!W:W,"&lt;"&amp;Stundenaufzeichnung!B187+1))</f>
        <v>44578</v>
      </c>
      <c r="D187" s="45" t="str">
        <f t="shared" si="76"/>
        <v/>
      </c>
      <c r="E187" s="8">
        <f t="shared" si="77"/>
        <v>1</v>
      </c>
      <c r="F187" s="8">
        <f t="shared" si="82"/>
        <v>6</v>
      </c>
      <c r="G187" s="8">
        <f>IF(B187="","",VLOOKUP(E187,Datenblatt!$L$2:$N$8,3,FALSE))</f>
        <v>0</v>
      </c>
      <c r="H187" s="8" t="str">
        <f t="shared" si="83"/>
        <v/>
      </c>
      <c r="I187" s="11" t="str">
        <f>IFERROR(VLOOKUP(B187,Datenblatt!$E:$F,2,FALSE),"")</f>
        <v/>
      </c>
      <c r="J187" s="113"/>
      <c r="K187" s="19">
        <f>IF(B187&lt;Datenblatt!$B$9,"",IF(B187="","",IF(G187=0,Datenblatt!$B$7,"")))</f>
        <v>6.67</v>
      </c>
      <c r="L187" s="19" t="str">
        <f t="shared" si="84"/>
        <v/>
      </c>
      <c r="M187" s="124" t="str">
        <f t="shared" si="85"/>
        <v/>
      </c>
      <c r="N187" s="124" t="str">
        <f>IF(AND(L187=Datenblatt!$B$7,NOT(L186=Datenblatt!$B$7),NOT(L188=Datenblatt!$B$7)),"y",IF(AND(L187=Datenblatt!$B$7,L188=Datenblatt!$B$7,NOT(L186=Datenblatt!$B$7)),"a",IF(AND(L187=Datenblatt!$B$7,L186=Datenblatt!$B$7,NOT(L188=Datenblatt!$B$7)),"b","")))</f>
        <v/>
      </c>
      <c r="O187" s="19" t="str">
        <f t="shared" si="86"/>
        <v/>
      </c>
      <c r="P187" s="124" t="str">
        <f>IF(AND(M187=Datenblatt!$B$7,NOT(M186=Datenblatt!$B$7),NOT(M188=Datenblatt!$B$7)),"y",IF(AND(M187=Datenblatt!$B$7,M188=Datenblatt!$B$7,NOT(M186=Datenblatt!$B$7)),"a",IF(AND(M187=Datenblatt!$B$7,M186=Datenblatt!$B$7,NOT(M188=Datenblatt!$B$7)),"b","")))</f>
        <v/>
      </c>
      <c r="Q187" s="19" t="str">
        <f t="shared" si="87"/>
        <v/>
      </c>
      <c r="R187" s="124" t="str">
        <f>IF(I187="","",IF(AND(OR(J187="Krankenstand",J187="Urlaub",J187=""), AND(G187=0,NOT(I187=""))),Datenblatt!$B$7,""))</f>
        <v/>
      </c>
      <c r="S187" s="19" t="str">
        <f>IF(OR(J187="Krankenstand",J187="Urlaub"),"",IF(J187="","",VLOOKUP(D187,Dienste!C:W,21,)))</f>
        <v/>
      </c>
      <c r="T187" s="18" t="str">
        <f>IF(OR(J187="Krankenstand",J187="Urlaub"),"",IF(J187="","",VLOOKUP(D187,Dienste!C:W,5,)))</f>
        <v/>
      </c>
      <c r="U187" s="18" t="str">
        <f>IF(OR(J187="Krankenstand",J187="Urlaub"),"",IF(J187="","",VLOOKUP(D187,Dienste!C:W,6,)))</f>
        <v/>
      </c>
      <c r="V187" s="18" t="str">
        <f>IF(OR(J187="Krankenstand",J187="Urlaub"),"",IF(J187="","",VLOOKUP(D187,Dienste!C:W,7,)))</f>
        <v/>
      </c>
      <c r="W187" s="18" t="str">
        <f>IF(OR(J187="Krankenstand",J187="Urlaub"),"",IF(J187="","",VLOOKUP(D187,Dienste!C:W,11,)))</f>
        <v/>
      </c>
      <c r="X187" s="18" t="str">
        <f>IF(OR(J187="Krankenstand",J187="Urlaub"),"",IF(J187="","",VLOOKUP(D187,Dienste!C:W,12,)))</f>
        <v/>
      </c>
      <c r="Y187" s="19" t="str">
        <f>IF(OR(J187="Krankenstand",J187="Urlaub"),"",IF(J187="","",VLOOKUP(D187,Dienste!C:W,14,)))</f>
        <v/>
      </c>
      <c r="Z187" s="20" t="str">
        <f>IF(OR(J187="Krankenstand",J187="Urlaub"),"",IF(J187="","",VLOOKUP(D187,Dienste!C:W,15,)))</f>
        <v/>
      </c>
      <c r="AA187" s="124" t="str">
        <f t="shared" si="78"/>
        <v/>
      </c>
      <c r="AB187" s="19" t="str">
        <f t="shared" si="79"/>
        <v/>
      </c>
      <c r="AC187" s="126" t="str">
        <f>_xlfn.CONCAT(_xlfn.CONCAT(IF(I187="","",_xlfn.CONCAT("FT: ",I187,IF(J187="","","; "))),IF(B187&lt;Datenblatt!$B$9,"",IF(B187="","",IF(NOT(J187=""),SUBSTITUTE(SUBSTITUTE(SUBSTITUTE(J187," mR","")," oR","")," O",""),"")))),IF(AF187="","",_xlfn.CONCAT(CHAR(10),"; ",AF187)))</f>
        <v/>
      </c>
      <c r="AD187" s="124" t="str">
        <f t="shared" si="88"/>
        <v/>
      </c>
      <c r="AE187" s="19">
        <f t="shared" si="80"/>
        <v>0</v>
      </c>
      <c r="AF187" s="156"/>
    </row>
    <row r="188" spans="2:32" s="9" customFormat="1" ht="13">
      <c r="B188" s="6">
        <f>IF(B187="","",IF(DAY(B187+1)&lt;29,"",B187+1))</f>
        <v>44710</v>
      </c>
      <c r="C188" s="45">
        <f>SMALL(Daten!W:W,COUNTIF(Daten!W:W,"&lt;"&amp;Stundenaufzeichnung!B188+1))</f>
        <v>44578</v>
      </c>
      <c r="D188" s="45" t="str">
        <f t="shared" si="76"/>
        <v/>
      </c>
      <c r="E188" s="8">
        <f t="shared" si="77"/>
        <v>2</v>
      </c>
      <c r="F188" s="8">
        <f>IF(B188="","",MOD(E188+$F$3,7)+1)</f>
        <v>7</v>
      </c>
      <c r="G188" s="8">
        <f>IF(B188="","",VLOOKUP(E188,Datenblatt!$L$2:$N$8,3,FALSE))</f>
        <v>1</v>
      </c>
      <c r="H188" s="8" t="str">
        <f t="shared" si="83"/>
        <v>x</v>
      </c>
      <c r="I188" s="11" t="str">
        <f>IFERROR(VLOOKUP(B188,Datenblatt!$E:$F,2,FALSE),"")</f>
        <v/>
      </c>
      <c r="J188" s="113"/>
      <c r="K188" s="19" t="str">
        <f>IF(B188&lt;Datenblatt!$B$9,"",IF(B188="","",IF(G188=0,Datenblatt!$B$7,"")))</f>
        <v/>
      </c>
      <c r="L188" s="19" t="str">
        <f t="shared" si="84"/>
        <v/>
      </c>
      <c r="M188" s="124" t="str">
        <f t="shared" si="85"/>
        <v/>
      </c>
      <c r="N188" s="124" t="str">
        <f>IF(AND(L188=Datenblatt!$B$7,NOT(L187=Datenblatt!$B$7),NOT(L189=Datenblatt!$B$7)),"y",IF(AND(L188=Datenblatt!$B$7,L189=Datenblatt!$B$7,NOT(L187=Datenblatt!$B$7)),"a",IF(AND(L188=Datenblatt!$B$7,L187=Datenblatt!$B$7,NOT(L189=Datenblatt!$B$7)),"b","")))</f>
        <v/>
      </c>
      <c r="O188" s="19" t="str">
        <f t="shared" si="86"/>
        <v/>
      </c>
      <c r="P188" s="124" t="str">
        <f>IF(AND(M188=Datenblatt!$B$7,NOT(M187=Datenblatt!$B$7),NOT(M189=Datenblatt!$B$7)),"y",IF(AND(M188=Datenblatt!$B$7,M189=Datenblatt!$B$7,NOT(M187=Datenblatt!$B$7)),"a",IF(AND(M188=Datenblatt!$B$7,M187=Datenblatt!$B$7,NOT(M189=Datenblatt!$B$7)),"b","")))</f>
        <v/>
      </c>
      <c r="Q188" s="19" t="str">
        <f t="shared" si="87"/>
        <v/>
      </c>
      <c r="R188" s="124" t="str">
        <f>IF(I188="","",IF(AND(OR(J188="Krankenstand",J188="Urlaub",J188=""), AND(G188=0,NOT(I188=""))),Datenblatt!$B$7,""))</f>
        <v/>
      </c>
      <c r="S188" s="19" t="str">
        <f>IF(OR(J188="Krankenstand",J188="Urlaub"),"",IF(J188="","",VLOOKUP(D188,Dienste!C:W,21,)))</f>
        <v/>
      </c>
      <c r="T188" s="18" t="str">
        <f>IF(OR(J188="Krankenstand",J188="Urlaub"),"",IF(J188="","",VLOOKUP(D188,Dienste!C:W,5,)))</f>
        <v/>
      </c>
      <c r="U188" s="18" t="str">
        <f>IF(OR(J188="Krankenstand",J188="Urlaub"),"",IF(J188="","",VLOOKUP(D188,Dienste!C:W,6,)))</f>
        <v/>
      </c>
      <c r="V188" s="18" t="str">
        <f>IF(OR(J188="Krankenstand",J188="Urlaub"),"",IF(J188="","",VLOOKUP(D188,Dienste!C:W,7,)))</f>
        <v/>
      </c>
      <c r="W188" s="18" t="str">
        <f>IF(OR(J188="Krankenstand",J188="Urlaub"),"",IF(J188="","",VLOOKUP(D188,Dienste!C:W,11,)))</f>
        <v/>
      </c>
      <c r="X188" s="18" t="str">
        <f>IF(OR(J188="Krankenstand",J188="Urlaub"),"",IF(J188="","",VLOOKUP(D188,Dienste!C:W,12,)))</f>
        <v/>
      </c>
      <c r="Y188" s="19" t="str">
        <f>IF(OR(J188="Krankenstand",J188="Urlaub"),"",IF(J188="","",VLOOKUP(D188,Dienste!C:W,14,)))</f>
        <v/>
      </c>
      <c r="Z188" s="20" t="str">
        <f>IF(OR(J188="Krankenstand",J188="Urlaub"),"",IF(J188="","",VLOOKUP(D188,Dienste!C:W,15,)))</f>
        <v/>
      </c>
      <c r="AA188" s="124" t="str">
        <f t="shared" si="78"/>
        <v/>
      </c>
      <c r="AB188" s="19" t="str">
        <f t="shared" si="79"/>
        <v/>
      </c>
      <c r="AC188" s="126" t="str">
        <f>_xlfn.CONCAT(_xlfn.CONCAT(IF(I188="","",_xlfn.CONCAT("FT: ",I188,IF(J188="","","; "))),IF(B188&lt;Datenblatt!$B$9,"",IF(B188="","",IF(NOT(J188=""),SUBSTITUTE(SUBSTITUTE(SUBSTITUTE(J188," mR","")," oR","")," O",""),"")))),IF(AF188="","",_xlfn.CONCAT(CHAR(10),"; ",AF188)))</f>
        <v/>
      </c>
      <c r="AD188" s="124" t="str">
        <f t="shared" si="88"/>
        <v/>
      </c>
      <c r="AE188" s="19">
        <f t="shared" si="80"/>
        <v>0</v>
      </c>
      <c r="AF188" s="156"/>
    </row>
    <row r="189" spans="2:32" s="9" customFormat="1" ht="13">
      <c r="B189" s="6">
        <f>IF(B188="","",IF(DAY(B188+1)&lt;30,"",B188+1))</f>
        <v>44711</v>
      </c>
      <c r="C189" s="45">
        <f>SMALL(Daten!W:W,COUNTIF(Daten!W:W,"&lt;"&amp;Stundenaufzeichnung!B189+1))</f>
        <v>44578</v>
      </c>
      <c r="D189" s="45" t="str">
        <f t="shared" si="76"/>
        <v/>
      </c>
      <c r="E189" s="8">
        <f t="shared" si="77"/>
        <v>3</v>
      </c>
      <c r="F189" s="8">
        <f>IF(B189="","",MOD(E189+$F$3,7)+1)</f>
        <v>1</v>
      </c>
      <c r="G189" s="8">
        <f>IF(B189="","",VLOOKUP(E189,Datenblatt!$L$2:$N$8,3,FALSE))</f>
        <v>0</v>
      </c>
      <c r="H189" s="8" t="str">
        <f t="shared" si="83"/>
        <v/>
      </c>
      <c r="I189" s="11" t="str">
        <f>IFERROR(VLOOKUP(B189,Datenblatt!$E:$F,2,FALSE),"")</f>
        <v/>
      </c>
      <c r="J189" s="113"/>
      <c r="K189" s="19">
        <f>IF(B189&lt;Datenblatt!$B$9,"",IF(B189="","",IF(G189=0,Datenblatt!$B$7,"")))</f>
        <v>6.67</v>
      </c>
      <c r="L189" s="19" t="str">
        <f t="shared" si="84"/>
        <v/>
      </c>
      <c r="M189" s="124" t="str">
        <f t="shared" si="85"/>
        <v/>
      </c>
      <c r="N189" s="124" t="str">
        <f>IF(AND(L189=Datenblatt!$B$7,NOT(L188=Datenblatt!$B$7),NOT(L190=Datenblatt!$B$7)),"y",IF(AND(L189=Datenblatt!$B$7,L190=Datenblatt!$B$7,NOT(L188=Datenblatt!$B$7)),"a",IF(AND(L189=Datenblatt!$B$7,L188=Datenblatt!$B$7,NOT(L190=Datenblatt!$B$7)),"b","")))</f>
        <v/>
      </c>
      <c r="O189" s="19" t="str">
        <f t="shared" si="86"/>
        <v/>
      </c>
      <c r="P189" s="124" t="str">
        <f>IF(AND(M189=Datenblatt!$B$7,NOT(M188=Datenblatt!$B$7),NOT(M190=Datenblatt!$B$7)),"y",IF(AND(M189=Datenblatt!$B$7,M190=Datenblatt!$B$7,NOT(M188=Datenblatt!$B$7)),"a",IF(AND(M189=Datenblatt!$B$7,M188=Datenblatt!$B$7,NOT(M190=Datenblatt!$B$7)),"b","")))</f>
        <v/>
      </c>
      <c r="Q189" s="19" t="str">
        <f t="shared" si="87"/>
        <v/>
      </c>
      <c r="R189" s="124" t="str">
        <f>IF(I189="","",IF(AND(OR(J189="Krankenstand",J189="Urlaub",J189=""), AND(G189=0,NOT(I189=""))),Datenblatt!$B$7,""))</f>
        <v/>
      </c>
      <c r="S189" s="19" t="str">
        <f>IF(OR(J189="Krankenstand",J189="Urlaub"),"",IF(J189="","",VLOOKUP(D189,Dienste!C:W,21,)))</f>
        <v/>
      </c>
      <c r="T189" s="18" t="str">
        <f>IF(OR(J189="Krankenstand",J189="Urlaub"),"",IF(J189="","",VLOOKUP(D189,Dienste!C:W,5,)))</f>
        <v/>
      </c>
      <c r="U189" s="18" t="str">
        <f>IF(OR(J189="Krankenstand",J189="Urlaub"),"",IF(J189="","",VLOOKUP(D189,Dienste!C:W,6,)))</f>
        <v/>
      </c>
      <c r="V189" s="18" t="str">
        <f>IF(OR(J189="Krankenstand",J189="Urlaub"),"",IF(J189="","",VLOOKUP(D189,Dienste!C:W,7,)))</f>
        <v/>
      </c>
      <c r="W189" s="18" t="str">
        <f>IF(OR(J189="Krankenstand",J189="Urlaub"),"",IF(J189="","",VLOOKUP(D189,Dienste!C:W,11,)))</f>
        <v/>
      </c>
      <c r="X189" s="18" t="str">
        <f>IF(OR(J189="Krankenstand",J189="Urlaub"),"",IF(J189="","",VLOOKUP(D189,Dienste!C:W,12,)))</f>
        <v/>
      </c>
      <c r="Y189" s="19" t="str">
        <f>IF(OR(J189="Krankenstand",J189="Urlaub"),"",IF(J189="","",VLOOKUP(D189,Dienste!C:W,14,)))</f>
        <v/>
      </c>
      <c r="Z189" s="20" t="str">
        <f>IF(OR(J189="Krankenstand",J189="Urlaub"),"",IF(J189="","",VLOOKUP(D189,Dienste!C:W,15,)))</f>
        <v/>
      </c>
      <c r="AA189" s="124" t="str">
        <f>IF(OR(Y189="",NOT(AB189="")),"",IF(AND(Y189&lt;AE190,AE190&gt;0),Y189,IF(AE190&gt;0,AE190,"")))</f>
        <v/>
      </c>
      <c r="AB189" s="19" t="str">
        <f t="shared" si="79"/>
        <v/>
      </c>
      <c r="AC189" s="126" t="str">
        <f>_xlfn.CONCAT(_xlfn.CONCAT(IF(I189="","",_xlfn.CONCAT("FT: ",I189,IF(J189="","","; "))),IF(B189&lt;Datenblatt!$B$9,"",IF(B189="","",IF(NOT(J189=""),SUBSTITUTE(SUBSTITUTE(SUBSTITUTE(J189," mR","")," oR","")," O",""),"")))),IF(AF189="","",_xlfn.CONCAT(CHAR(10),"; ",AF189)))</f>
        <v/>
      </c>
      <c r="AD189" s="124" t="str">
        <f t="shared" si="88"/>
        <v/>
      </c>
      <c r="AE189" s="19">
        <f t="shared" si="80"/>
        <v>0</v>
      </c>
      <c r="AF189" s="156"/>
    </row>
    <row r="190" spans="2:32" s="9" customFormat="1" ht="13">
      <c r="B190" s="28">
        <f>IF(B189="","",IF(DAY(B189+1)&lt;31,"",B189+1))</f>
        <v>44712</v>
      </c>
      <c r="C190" s="47">
        <f>SMALL(Daten!W:W,COUNTIF(Daten!W:W,"&lt;"&amp;Stundenaufzeichnung!B190+1))</f>
        <v>44578</v>
      </c>
      <c r="D190" s="47" t="str">
        <f t="shared" si="76"/>
        <v/>
      </c>
      <c r="E190" s="29">
        <f t="shared" si="77"/>
        <v>4</v>
      </c>
      <c r="F190" s="29">
        <f>IF(B190="","",MOD(E190+$F$3,7)+1)</f>
        <v>2</v>
      </c>
      <c r="G190" s="29">
        <f>IF(B190="","",VLOOKUP(E190,Datenblatt!$L$2:$N$8,3,FALSE))</f>
        <v>0</v>
      </c>
      <c r="H190" s="29" t="str">
        <f t="shared" si="83"/>
        <v/>
      </c>
      <c r="I190" s="123" t="str">
        <f>IFERROR(VLOOKUP(B190,Datenblatt!$E:$F,2,FALSE),"")</f>
        <v/>
      </c>
      <c r="J190" s="114"/>
      <c r="K190" s="30">
        <f>IF(B190&lt;Datenblatt!$B$9,"",IF(B190="","",IF(G190=0,Datenblatt!$B$7,"")))</f>
        <v>6.67</v>
      </c>
      <c r="L190" s="30" t="str">
        <f t="shared" si="84"/>
        <v/>
      </c>
      <c r="M190" s="30" t="str">
        <f t="shared" si="85"/>
        <v/>
      </c>
      <c r="N190" s="30" t="str">
        <f>IF(AND(L190=Datenblatt!$B$7,NOT(L189=Datenblatt!$B$7),NOT(L191=Datenblatt!$B$7)),"y",IF(AND(L190=Datenblatt!$B$7,L191=Datenblatt!$B$7,NOT(L189=Datenblatt!$B$7)),"a",IF(AND(L190=Datenblatt!$B$7,L189=Datenblatt!$B$7,NOT(L191=Datenblatt!$B$7)),"b","")))</f>
        <v/>
      </c>
      <c r="O190" s="30" t="str">
        <f t="shared" si="86"/>
        <v/>
      </c>
      <c r="P190" s="30" t="str">
        <f>IF(AND(M190=Datenblatt!$B$7,NOT(M189=Datenblatt!$B$7),NOT(M191=Datenblatt!$B$7)),"y",IF(AND(M190=Datenblatt!$B$7,M191=Datenblatt!$B$7,NOT(M189=Datenblatt!$B$7)),"a",IF(AND(M190=Datenblatt!$B$7,M189=Datenblatt!$B$7,NOT(M191=Datenblatt!$B$7)),"b","")))</f>
        <v/>
      </c>
      <c r="Q190" s="30" t="str">
        <f t="shared" si="87"/>
        <v/>
      </c>
      <c r="R190" s="30" t="str">
        <f>IF(I190="","",IF(AND(OR(J190="Krankenstand",J190="Urlaub",J190=""), AND(G190=0,NOT(I190=""))),Datenblatt!$B$7,""))</f>
        <v/>
      </c>
      <c r="S190" s="30" t="str">
        <f>IF(OR(J190="Krankenstand",J190="Urlaub"),"",IF(J190="","",VLOOKUP(D190,Dienste!C:W,21,)))</f>
        <v/>
      </c>
      <c r="T190" s="31" t="str">
        <f>IF(OR(J190="Krankenstand",J190="Urlaub"),"",IF(J190="","",VLOOKUP(D190,Dienste!C:W,5,)))</f>
        <v/>
      </c>
      <c r="U190" s="31" t="str">
        <f>IF(OR(J190="Krankenstand",J190="Urlaub"),"",IF(J190="","",VLOOKUP(D190,Dienste!C:W,6,)))</f>
        <v/>
      </c>
      <c r="V190" s="31" t="str">
        <f>IF(OR(J190="Krankenstand",J190="Urlaub"),"",IF(J190="","",VLOOKUP(D190,Dienste!C:W,7,)))</f>
        <v/>
      </c>
      <c r="W190" s="31" t="str">
        <f>IF(OR(J190="Krankenstand",J190="Urlaub"),"",IF(J190="","",VLOOKUP(D190,Dienste!C:W,11,)))</f>
        <v/>
      </c>
      <c r="X190" s="31" t="str">
        <f>IF(OR(J190="Krankenstand",J190="Urlaub"),"",IF(J190="","",VLOOKUP(D190,Dienste!C:W,12,)))</f>
        <v/>
      </c>
      <c r="Y190" s="30" t="str">
        <f>IF(OR(J190="Krankenstand",J190="Urlaub"),"",IF(J190="","",VLOOKUP(D190,Dienste!C:W,14,)))</f>
        <v/>
      </c>
      <c r="Z190" s="32" t="str">
        <f>IF(OR(J190="Krankenstand",J190="Urlaub"),"",IF(J190="","",VLOOKUP(D190,Dienste!C:W,15,)))</f>
        <v/>
      </c>
      <c r="AA190" s="30" t="str">
        <f>IF(OR(Y190="",NOT(AB190="")),"",IF(AND(Y190&lt;AE191,AE191&gt;0),Y190,IF(AE191&gt;0,AE191,"")))</f>
        <v/>
      </c>
      <c r="AB190" s="30" t="str">
        <f t="shared" si="79"/>
        <v/>
      </c>
      <c r="AC190" s="125" t="str">
        <f>_xlfn.CONCAT(_xlfn.CONCAT(IF(I190="","",_xlfn.CONCAT("FT: ",I190,IF(J190="","","; "))),IF(B190&lt;Datenblatt!$B$9,"",IF(B190="","",IF(NOT(J190=""),SUBSTITUTE(SUBSTITUTE(SUBSTITUTE(J190," mR","")," oR","")," O",""),"")))),IF(AF190="","",_xlfn.CONCAT(CHAR(10),"; ",AF190)))</f>
        <v/>
      </c>
      <c r="AD190" s="30" t="str">
        <f t="shared" si="88"/>
        <v/>
      </c>
      <c r="AE190" s="30">
        <f>IF(OR(Y190="",NOT(AB190="")),AE191,AE191-Y190)</f>
        <v>0</v>
      </c>
      <c r="AF190" s="157"/>
    </row>
    <row r="191" spans="2:32" s="8" customFormat="1" ht="13">
      <c r="AA191" s="19">
        <f>IF(AD192-AB192-K192&lt;0,0,AD192-AB192-K192)</f>
        <v>0</v>
      </c>
      <c r="AC191" s="17" t="s">
        <v>193</v>
      </c>
      <c r="AE191" s="19">
        <f>AA191</f>
        <v>0</v>
      </c>
      <c r="AF191" s="17"/>
    </row>
    <row r="192" spans="2:32" s="8" customFormat="1" ht="13">
      <c r="B192" s="25" t="str">
        <f>"Summen "&amp;TEXT(B160,"MMMM")</f>
        <v>Summen Mai</v>
      </c>
      <c r="C192" s="25"/>
      <c r="D192" s="25"/>
      <c r="E192" s="17"/>
      <c r="F192" s="17"/>
      <c r="G192" s="17"/>
      <c r="H192" s="17"/>
      <c r="I192" s="17"/>
      <c r="J192" s="17"/>
      <c r="K192" s="19">
        <f>SUM(K160:K190)</f>
        <v>173.41999999999993</v>
      </c>
      <c r="L192" s="19">
        <f t="shared" ref="L192:M192" si="89">SUM(L160:L190)</f>
        <v>0</v>
      </c>
      <c r="M192" s="19">
        <f t="shared" si="89"/>
        <v>0</v>
      </c>
      <c r="N192" s="19"/>
      <c r="O192" s="19" t="str">
        <f>IF(_xlfn.CONCAT(O160:O190)="","",REPLACE(_xlfn.CONCAT(O160:O190),LEN(_xlfn.CONCAT(O160:O190))-1,1,""))</f>
        <v/>
      </c>
      <c r="P192" s="19"/>
      <c r="Q192" s="19" t="str">
        <f t="shared" ref="Q192" si="90">IF(_xlfn.CONCAT(Q160:Q190)="","",REPLACE(_xlfn.CONCAT(Q160:Q190),LEN(_xlfn.CONCAT(Q160:Q190))-1,1,""))</f>
        <v/>
      </c>
      <c r="R192" s="19">
        <f t="shared" ref="R192:S192" si="91">SUM(R160:R190)</f>
        <v>6.67</v>
      </c>
      <c r="S192" s="19">
        <f t="shared" si="91"/>
        <v>0</v>
      </c>
      <c r="T192" s="19"/>
      <c r="U192" s="19"/>
      <c r="V192" s="19"/>
      <c r="W192" s="19"/>
      <c r="X192" s="17"/>
      <c r="Y192" s="19">
        <f>SUM(Y160:Y190)</f>
        <v>0</v>
      </c>
      <c r="Z192" s="20">
        <f>SUM(Z160:Z190)</f>
        <v>0</v>
      </c>
      <c r="AA192" s="26">
        <f>IF(AA191&gt;10,10,AA191)</f>
        <v>0</v>
      </c>
      <c r="AB192" s="19">
        <f t="shared" ref="AB192" si="92">SUM(AB160:AB190)</f>
        <v>0</v>
      </c>
      <c r="AC192" s="20">
        <f>R193</f>
        <v>1</v>
      </c>
      <c r="AD192" s="19">
        <f>SUM(AD160:AD190)</f>
        <v>6.67</v>
      </c>
      <c r="AE192" s="19"/>
      <c r="AF192" s="20"/>
    </row>
    <row r="193" spans="1:32" s="8" customFormat="1" ht="13">
      <c r="B193" s="25" t="str">
        <f>"Anzahl "&amp;TEXT(B160,"MMMM")</f>
        <v>Anzahl Mai</v>
      </c>
      <c r="C193" s="25"/>
      <c r="D193" s="25"/>
      <c r="E193" s="17"/>
      <c r="F193" s="17"/>
      <c r="G193" s="17"/>
      <c r="H193" s="17"/>
      <c r="I193" s="17"/>
      <c r="J193" s="17"/>
      <c r="K193" s="17">
        <f>COUNT(K160:K190)</f>
        <v>26</v>
      </c>
      <c r="L193" s="17">
        <f t="shared" ref="L193:M193" si="93">COUNT(L160:L190)</f>
        <v>0</v>
      </c>
      <c r="M193" s="17">
        <f t="shared" si="93"/>
        <v>0</v>
      </c>
      <c r="N193" s="17"/>
      <c r="O193" s="17"/>
      <c r="P193" s="17"/>
      <c r="Q193" s="17"/>
      <c r="R193" s="17">
        <f t="shared" ref="R193:S193" si="94">COUNT(R160:R190)</f>
        <v>1</v>
      </c>
      <c r="S193" s="17">
        <f t="shared" si="94"/>
        <v>0</v>
      </c>
      <c r="T193" s="17"/>
      <c r="U193" s="17"/>
      <c r="V193" s="17"/>
      <c r="W193" s="17"/>
      <c r="X193" s="17"/>
      <c r="Y193" s="17"/>
      <c r="Z193" s="17"/>
      <c r="AA193" s="27">
        <f>IF(AA191&gt;10,AA191-10,0)</f>
        <v>0</v>
      </c>
      <c r="AB193" s="17"/>
      <c r="AC193" s="17"/>
      <c r="AD193" s="17"/>
      <c r="AE193" s="17"/>
      <c r="AF193" s="17"/>
    </row>
    <row r="194" spans="1:32" s="8" customFormat="1" ht="13.5" thickBot="1">
      <c r="A194" s="10"/>
      <c r="B194" s="10"/>
      <c r="C194" s="10"/>
      <c r="D194" s="10"/>
      <c r="E194" s="10"/>
      <c r="F194" s="10"/>
      <c r="G194" s="10"/>
      <c r="H194" s="10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0"/>
      <c r="AB194" s="10"/>
      <c r="AC194" s="10"/>
      <c r="AD194" s="34"/>
      <c r="AE194" s="34"/>
      <c r="AF194" s="10"/>
    </row>
    <row r="195" spans="1:32" s="5" customFormat="1"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32" s="5" customFormat="1" ht="18.5">
      <c r="B196" s="33" t="s">
        <v>95</v>
      </c>
      <c r="C196" s="33"/>
      <c r="D196" s="33"/>
      <c r="E196" s="23"/>
      <c r="F196" s="23"/>
      <c r="G196" s="23"/>
      <c r="H196" s="23"/>
      <c r="I196" s="217" t="str">
        <f>Datenblatt!$B$4</f>
        <v>Dummy Name</v>
      </c>
      <c r="J196" s="217"/>
      <c r="K196" s="217"/>
      <c r="L196" s="217"/>
      <c r="M196" s="217"/>
      <c r="N196" s="217"/>
      <c r="O196" s="217"/>
      <c r="P196" s="217"/>
      <c r="Q196" s="217"/>
      <c r="R196" s="217"/>
      <c r="S196" s="217"/>
      <c r="T196" s="218" t="str">
        <f>TEXT(B199,"MMMM JJJJ")</f>
        <v>Juni 2022</v>
      </c>
      <c r="U196" s="218"/>
      <c r="V196" s="218"/>
      <c r="W196" s="218"/>
      <c r="X196" s="8"/>
      <c r="Y196" s="8"/>
      <c r="Z196" s="8"/>
    </row>
    <row r="197" spans="1:32" s="5" customFormat="1" ht="15" customHeight="1">
      <c r="I197" s="2"/>
      <c r="J197" s="2"/>
      <c r="K197" s="13"/>
      <c r="L197" s="13"/>
      <c r="M197" s="13"/>
      <c r="N197" s="13"/>
      <c r="O197" s="13"/>
      <c r="P197" s="13"/>
      <c r="Q197" s="13"/>
      <c r="R197" s="13"/>
      <c r="S197" s="13"/>
      <c r="T197" s="221" t="s">
        <v>43</v>
      </c>
      <c r="U197" s="221"/>
      <c r="V197" s="221" t="s">
        <v>45</v>
      </c>
      <c r="W197" s="221" t="s">
        <v>116</v>
      </c>
      <c r="X197" s="221" t="s">
        <v>11</v>
      </c>
      <c r="Y197" s="219" t="s">
        <v>194</v>
      </c>
      <c r="Z197" s="219" t="s">
        <v>7</v>
      </c>
      <c r="AA197" s="220" t="s">
        <v>49</v>
      </c>
      <c r="AB197" s="220"/>
      <c r="AC197" s="160"/>
      <c r="AD197" s="160"/>
    </row>
    <row r="198" spans="1:32" s="5" customFormat="1" ht="15" customHeight="1">
      <c r="B198" s="8"/>
      <c r="C198" s="8"/>
      <c r="D198" s="8" t="s">
        <v>161</v>
      </c>
      <c r="E198" s="8"/>
      <c r="F198" s="8">
        <f>VLOOKUP(Datenblatt!$B$8,Datenblatt!$J:$K,2,FALSE)</f>
        <v>4</v>
      </c>
      <c r="G198" s="8" t="s">
        <v>113</v>
      </c>
      <c r="H198" s="8"/>
      <c r="I198" s="12" t="s">
        <v>92</v>
      </c>
      <c r="J198" s="115" t="s">
        <v>12</v>
      </c>
      <c r="K198" s="12" t="s">
        <v>94</v>
      </c>
      <c r="L198" s="12" t="s">
        <v>85</v>
      </c>
      <c r="M198" s="12" t="s">
        <v>88</v>
      </c>
      <c r="N198" s="12" t="s">
        <v>117</v>
      </c>
      <c r="O198" s="12" t="s">
        <v>117</v>
      </c>
      <c r="P198" s="12" t="s">
        <v>118</v>
      </c>
      <c r="Q198" s="12" t="s">
        <v>118</v>
      </c>
      <c r="R198" s="12" t="s">
        <v>112</v>
      </c>
      <c r="S198" s="12" t="s">
        <v>115</v>
      </c>
      <c r="T198" s="15" t="s">
        <v>51</v>
      </c>
      <c r="U198" s="15" t="s">
        <v>50</v>
      </c>
      <c r="V198" s="222"/>
      <c r="W198" s="222"/>
      <c r="X198" s="222"/>
      <c r="Y198" s="219"/>
      <c r="Z198" s="219" t="s">
        <v>7</v>
      </c>
      <c r="AA198" s="21">
        <v>0.5</v>
      </c>
      <c r="AB198" s="16" t="s">
        <v>114</v>
      </c>
      <c r="AC198" s="16" t="s">
        <v>131</v>
      </c>
      <c r="AD198" s="16" t="s">
        <v>131</v>
      </c>
      <c r="AE198" s="128" t="s">
        <v>195</v>
      </c>
      <c r="AF198" s="16" t="s">
        <v>198</v>
      </c>
    </row>
    <row r="199" spans="1:32" s="9" customFormat="1" ht="13">
      <c r="A199" s="9">
        <f>A160+1</f>
        <v>6</v>
      </c>
      <c r="B199" s="6">
        <f>DATE(Datenblatt!$B$3,A199,1)</f>
        <v>44713</v>
      </c>
      <c r="C199" s="45">
        <f>SMALL(Daten!W:W,COUNTIF(Daten!W:W,"&lt;"&amp;Stundenaufzeichnung!B199+1))</f>
        <v>44578</v>
      </c>
      <c r="D199" s="45" t="str">
        <f t="shared" ref="D199:D229" si="95">IF(J199="","",CONCATENATE(C199," ",J199))</f>
        <v/>
      </c>
      <c r="E199" s="8">
        <f t="shared" ref="E199:E229" si="96">IF(B199="","",WEEKDAY(B199,16))</f>
        <v>5</v>
      </c>
      <c r="F199" s="8">
        <f>MOD(E199+$F$3,7)+1</f>
        <v>3</v>
      </c>
      <c r="G199" s="8">
        <f>IF(B199="","",VLOOKUP(E199,Datenblatt!$L$2:$N$8,3,FALSE))</f>
        <v>0</v>
      </c>
      <c r="H199" s="8" t="str">
        <f>IF(OR(G199=1),"x",IF(I199="","","x"))</f>
        <v/>
      </c>
      <c r="I199" s="11" t="str">
        <f>IFERROR(VLOOKUP(B199,Datenblatt!$E:$F,2,FALSE),"")</f>
        <v/>
      </c>
      <c r="J199" s="113"/>
      <c r="K199" s="19">
        <f>IF(B199&lt;Datenblatt!$B$9,"",IF(B199="","",IF(G199=0,Datenblatt!$B$7,"")))</f>
        <v>6.67</v>
      </c>
      <c r="L199" s="19" t="str">
        <f>IF(AND(J199="Krankenstand",R199=""),K199,"")</f>
        <v/>
      </c>
      <c r="M199" s="124" t="str">
        <f>IF(AND(J199="Urlaub",R199=""),K199,"")</f>
        <v/>
      </c>
      <c r="N199" s="124" t="str">
        <f>IF(AND(L199=Datenblatt!$B$7,NOT(L198=Datenblatt!$B$7),NOT(L200=Datenblatt!$B$7)),"y",IF(AND(L199=Datenblatt!$B$7,L200=Datenblatt!$B$7,NOT(L198=Datenblatt!$B$7)),"a",IF(AND(L199=Datenblatt!$B$7,L198=Datenblatt!$B$7,NOT(L200=Datenblatt!$B$7)),"b","")))</f>
        <v/>
      </c>
      <c r="O199" s="19" t="str">
        <f>IF(N199="a",TEXT(B199,"TT.MM.")&amp;" - ",IF(OR(N199="b",N199="y"),TEXT(B199,"TT.MM.")&amp;"; ",""))</f>
        <v/>
      </c>
      <c r="P199" s="124" t="str">
        <f>IF(AND(M199=Datenblatt!$B$7,NOT(M198=Datenblatt!$B$7),NOT(M200=Datenblatt!$B$7)),"y",IF(AND(M199=Datenblatt!$B$7,M200=Datenblatt!$B$7,NOT(M198=Datenblatt!$B$7)),"a",IF(AND(M199=Datenblatt!$B$7,M198=Datenblatt!$B$7,NOT(M200=Datenblatt!$B$7)),"b","")))</f>
        <v/>
      </c>
      <c r="Q199" s="19" t="str">
        <f>IF(P199="a",TEXT(B199,"TT.MM.")&amp;" - ",IF(OR(P199="b",P199="y"),TEXT(B199,"TT.MM.")&amp;"; ",""))</f>
        <v/>
      </c>
      <c r="R199" s="124" t="str">
        <f>IF(I199="","",IF(AND(OR(J199="Krankenstand",J199="Urlaub",J199=""), AND(G199=0,NOT(I199=""))),Datenblatt!$B$7,""))</f>
        <v/>
      </c>
      <c r="S199" s="19" t="str">
        <f>IF(OR(J199="Krankenstand",J199="Urlaub"),"",IF(J199="","",VLOOKUP(D199,Dienste!C:W,21,)))</f>
        <v/>
      </c>
      <c r="T199" s="18" t="str">
        <f>IF(OR(J199="Krankenstand",J199="Urlaub"),"",IF(J199="","",VLOOKUP(D199,Dienste!C:W,5,)))</f>
        <v/>
      </c>
      <c r="U199" s="18" t="str">
        <f>IF(OR(J199="Krankenstand",J199="Urlaub"),"",IF(J199="","",VLOOKUP(D199,Dienste!C:W,6,)))</f>
        <v/>
      </c>
      <c r="V199" s="18" t="str">
        <f>IF(OR(J199="Krankenstand",J199="Urlaub"),"",IF(J199="","",VLOOKUP(D199,Dienste!C:W,7,)))</f>
        <v/>
      </c>
      <c r="W199" s="18" t="str">
        <f>IF(OR(J199="Krankenstand",J199="Urlaub"),"",IF(J199="","",VLOOKUP(D199,Dienste!C:W,11,)))</f>
        <v/>
      </c>
      <c r="X199" s="18" t="str">
        <f>IF(OR(J199="Krankenstand",J199="Urlaub"),"",IF(J199="","",VLOOKUP(D199,Dienste!C:W,12,)))</f>
        <v/>
      </c>
      <c r="Y199" s="19" t="str">
        <f>IF(OR(J199="Krankenstand",J199="Urlaub"),"",IF(J199="","",VLOOKUP(D199,Dienste!C:W,14,)))</f>
        <v/>
      </c>
      <c r="Z199" s="20" t="str">
        <f>IF(OR(J199="Krankenstand",J199="Urlaub"),"",IF(J199="","",VLOOKUP(D199,Dienste!C:W,15,)))</f>
        <v/>
      </c>
      <c r="AA199" s="124" t="str">
        <f t="shared" ref="AA199:AA227" si="97">IF(OR(Y199="",NOT(AB199="")),"",IF(AND(Y199&lt;AE200,AE200&gt;0),Y199,IF(AE200&gt;0,AE200,"")))</f>
        <v/>
      </c>
      <c r="AB199" s="19" t="str">
        <f t="shared" ref="AB199:AB229" si="98">IF(I199="","",Y199)</f>
        <v/>
      </c>
      <c r="AC199" s="126" t="str">
        <f>_xlfn.CONCAT(_xlfn.CONCAT(IF(I199="","",_xlfn.CONCAT("FT: ",I199,IF(J199="","","; "))),IF(B199&lt;Datenblatt!$B$9,"",IF(B199="","",IF(NOT(J199=""),SUBSTITUTE(SUBSTITUTE(SUBSTITUTE(J199," mR","")," oR","")," O",""),"")))),IF(AF199="","",_xlfn.CONCAT(CHAR(10),"; ",AF199)))</f>
        <v/>
      </c>
      <c r="AD199" s="124" t="str">
        <f>IF(SUM(Y199,R199,M199,L199)&lt;=0,"",SUM(Y199,R199,M199,L199))</f>
        <v/>
      </c>
      <c r="AE199" s="19">
        <f t="shared" ref="AE199:AE228" si="99">IF(OR(Y199="",NOT(AB199="")),AE200,AE200-Y199)</f>
        <v>0</v>
      </c>
      <c r="AF199" s="156"/>
    </row>
    <row r="200" spans="1:32" s="9" customFormat="1" ht="13">
      <c r="B200" s="6">
        <f t="shared" ref="B200:B226" si="100">B199+1</f>
        <v>44714</v>
      </c>
      <c r="C200" s="45">
        <f>SMALL(Daten!W:W,COUNTIF(Daten!W:W,"&lt;"&amp;Stundenaufzeichnung!B200+1))</f>
        <v>44578</v>
      </c>
      <c r="D200" s="45" t="str">
        <f t="shared" si="95"/>
        <v/>
      </c>
      <c r="E200" s="8">
        <f t="shared" si="96"/>
        <v>6</v>
      </c>
      <c r="F200" s="8">
        <f t="shared" ref="F200:F226" si="101">MOD(E200+$F$3,7)+1</f>
        <v>4</v>
      </c>
      <c r="G200" s="8">
        <f>IF(B200="","",VLOOKUP(E200,Datenblatt!$L$2:$N$8,3,FALSE))</f>
        <v>0</v>
      </c>
      <c r="H200" s="8" t="str">
        <f t="shared" ref="H200:H229" si="102">IF(OR(G200=1),"x",IF(I200="","","x"))</f>
        <v/>
      </c>
      <c r="I200" s="11" t="str">
        <f>IFERROR(VLOOKUP(B200,Datenblatt!$E:$F,2,FALSE),"")</f>
        <v/>
      </c>
      <c r="J200" s="113"/>
      <c r="K200" s="19">
        <f>IF(B200&lt;Datenblatt!$B$9,"",IF(B200="","",IF(G200=0,Datenblatt!$B$7,"")))</f>
        <v>6.67</v>
      </c>
      <c r="L200" s="19" t="str">
        <f t="shared" ref="L200:L229" si="103">IF(AND(J200="Krankenstand",R200=""),K200,"")</f>
        <v/>
      </c>
      <c r="M200" s="124" t="str">
        <f t="shared" ref="M200:M229" si="104">IF(AND(J200="Urlaub",R200=""),K200,"")</f>
        <v/>
      </c>
      <c r="N200" s="124" t="str">
        <f>IF(AND(L200=Datenblatt!$B$7,NOT(L199=Datenblatt!$B$7),NOT(L201=Datenblatt!$B$7)),"y",IF(AND(L200=Datenblatt!$B$7,L201=Datenblatt!$B$7,NOT(L199=Datenblatt!$B$7)),"a",IF(AND(L200=Datenblatt!$B$7,L199=Datenblatt!$B$7,NOT(L201=Datenblatt!$B$7)),"b","")))</f>
        <v/>
      </c>
      <c r="O200" s="19" t="str">
        <f t="shared" ref="O200:O229" si="105">IF(N200="a",TEXT(B200,"TT.MM.")&amp;" - ",IF(OR(N200="b",N200="y"),TEXT(B200,"TT.MM.")&amp;"; ",""))</f>
        <v/>
      </c>
      <c r="P200" s="124" t="str">
        <f>IF(AND(M200=Datenblatt!$B$7,NOT(M199=Datenblatt!$B$7),NOT(M201=Datenblatt!$B$7)),"y",IF(AND(M200=Datenblatt!$B$7,M201=Datenblatt!$B$7,NOT(M199=Datenblatt!$B$7)),"a",IF(AND(M200=Datenblatt!$B$7,M199=Datenblatt!$B$7,NOT(M201=Datenblatt!$B$7)),"b","")))</f>
        <v/>
      </c>
      <c r="Q200" s="19" t="str">
        <f t="shared" ref="Q200:Q229" si="106">IF(P200="a",TEXT(B200,"TT.MM.")&amp;" - ",IF(OR(P200="b",P200="y"),TEXT(B200,"TT.MM.")&amp;"; ",""))</f>
        <v/>
      </c>
      <c r="R200" s="124" t="str">
        <f>IF(I200="","",IF(AND(OR(J200="Krankenstand",J200="Urlaub",J200=""), AND(G200=0,NOT(I200=""))),Datenblatt!$B$7,""))</f>
        <v/>
      </c>
      <c r="S200" s="19" t="str">
        <f>IF(OR(J200="Krankenstand",J200="Urlaub"),"",IF(J200="","",VLOOKUP(D200,Dienste!C:W,21,)))</f>
        <v/>
      </c>
      <c r="T200" s="18" t="str">
        <f>IF(OR(J200="Krankenstand",J200="Urlaub"),"",IF(J200="","",VLOOKUP(D200,Dienste!C:W,5,)))</f>
        <v/>
      </c>
      <c r="U200" s="18" t="str">
        <f>IF(OR(J200="Krankenstand",J200="Urlaub"),"",IF(J200="","",VLOOKUP(D200,Dienste!C:W,6,)))</f>
        <v/>
      </c>
      <c r="V200" s="18" t="str">
        <f>IF(OR(J200="Krankenstand",J200="Urlaub"),"",IF(J200="","",VLOOKUP(D200,Dienste!C:W,7,)))</f>
        <v/>
      </c>
      <c r="W200" s="18" t="str">
        <f>IF(OR(J200="Krankenstand",J200="Urlaub"),"",IF(J200="","",VLOOKUP(D200,Dienste!C:W,11,)))</f>
        <v/>
      </c>
      <c r="X200" s="18" t="str">
        <f>IF(OR(J200="Krankenstand",J200="Urlaub"),"",IF(J200="","",VLOOKUP(D200,Dienste!C:W,12,)))</f>
        <v/>
      </c>
      <c r="Y200" s="19" t="str">
        <f>IF(OR(J200="Krankenstand",J200="Urlaub"),"",IF(J200="","",VLOOKUP(D200,Dienste!C:W,14,)))</f>
        <v/>
      </c>
      <c r="Z200" s="20" t="str">
        <f>IF(OR(J200="Krankenstand",J200="Urlaub"),"",IF(J200="","",VLOOKUP(D200,Dienste!C:W,15,)))</f>
        <v/>
      </c>
      <c r="AA200" s="124" t="str">
        <f t="shared" si="97"/>
        <v/>
      </c>
      <c r="AB200" s="19" t="str">
        <f t="shared" si="98"/>
        <v/>
      </c>
      <c r="AC200" s="126" t="str">
        <f>_xlfn.CONCAT(_xlfn.CONCAT(IF(I200="","",_xlfn.CONCAT("FT: ",I200,IF(J200="","","; "))),IF(B200&lt;Datenblatt!$B$9,"",IF(B200="","",IF(NOT(J200=""),SUBSTITUTE(SUBSTITUTE(SUBSTITUTE(J200," mR","")," oR","")," O",""),"")))),IF(AF200="","",_xlfn.CONCAT(CHAR(10),"; ",AF200)))</f>
        <v/>
      </c>
      <c r="AD200" s="124" t="str">
        <f t="shared" ref="AD200:AD229" si="107">IF(SUM(Y200,R200,M200,L200)&lt;=0,"",SUM(Y200,R200,M200,L200))</f>
        <v/>
      </c>
      <c r="AE200" s="19">
        <f t="shared" si="99"/>
        <v>0</v>
      </c>
      <c r="AF200" s="156"/>
    </row>
    <row r="201" spans="1:32" s="9" customFormat="1" ht="13">
      <c r="B201" s="6">
        <f t="shared" si="100"/>
        <v>44715</v>
      </c>
      <c r="C201" s="45">
        <f>SMALL(Daten!W:W,COUNTIF(Daten!W:W,"&lt;"&amp;Stundenaufzeichnung!B201+1))</f>
        <v>44578</v>
      </c>
      <c r="D201" s="45" t="str">
        <f t="shared" si="95"/>
        <v/>
      </c>
      <c r="E201" s="8">
        <f t="shared" si="96"/>
        <v>7</v>
      </c>
      <c r="F201" s="8">
        <f t="shared" si="101"/>
        <v>5</v>
      </c>
      <c r="G201" s="8">
        <f>IF(B201="","",VLOOKUP(E201,Datenblatt!$L$2:$N$8,3,FALSE))</f>
        <v>0</v>
      </c>
      <c r="H201" s="8" t="str">
        <f t="shared" si="102"/>
        <v/>
      </c>
      <c r="I201" s="11" t="str">
        <f>IFERROR(VLOOKUP(B201,Datenblatt!$E:$F,2,FALSE),"")</f>
        <v/>
      </c>
      <c r="J201" s="113"/>
      <c r="K201" s="19">
        <f>IF(B201&lt;Datenblatt!$B$9,"",IF(B201="","",IF(G201=0,Datenblatt!$B$7,"")))</f>
        <v>6.67</v>
      </c>
      <c r="L201" s="19" t="str">
        <f t="shared" si="103"/>
        <v/>
      </c>
      <c r="M201" s="124" t="str">
        <f t="shared" si="104"/>
        <v/>
      </c>
      <c r="N201" s="124" t="str">
        <f>IF(AND(L201=Datenblatt!$B$7,NOT(L200=Datenblatt!$B$7),NOT(L202=Datenblatt!$B$7)),"y",IF(AND(L201=Datenblatt!$B$7,L202=Datenblatt!$B$7,NOT(L200=Datenblatt!$B$7)),"a",IF(AND(L201=Datenblatt!$B$7,L200=Datenblatt!$B$7,NOT(L202=Datenblatt!$B$7)),"b","")))</f>
        <v/>
      </c>
      <c r="O201" s="19" t="str">
        <f t="shared" si="105"/>
        <v/>
      </c>
      <c r="P201" s="124" t="str">
        <f>IF(AND(M201=Datenblatt!$B$7,NOT(M200=Datenblatt!$B$7),NOT(M202=Datenblatt!$B$7)),"y",IF(AND(M201=Datenblatt!$B$7,M202=Datenblatt!$B$7,NOT(M200=Datenblatt!$B$7)),"a",IF(AND(M201=Datenblatt!$B$7,M200=Datenblatt!$B$7,NOT(M202=Datenblatt!$B$7)),"b","")))</f>
        <v/>
      </c>
      <c r="Q201" s="19" t="str">
        <f t="shared" si="106"/>
        <v/>
      </c>
      <c r="R201" s="124" t="str">
        <f>IF(I201="","",IF(AND(OR(J201="Krankenstand",J201="Urlaub",J201=""), AND(G201=0,NOT(I201=""))),Datenblatt!$B$7,""))</f>
        <v/>
      </c>
      <c r="S201" s="19" t="str">
        <f>IF(OR(J201="Krankenstand",J201="Urlaub"),"",IF(J201="","",VLOOKUP(D201,Dienste!C:W,21,)))</f>
        <v/>
      </c>
      <c r="T201" s="18" t="str">
        <f>IF(OR(J201="Krankenstand",J201="Urlaub"),"",IF(J201="","",VLOOKUP(D201,Dienste!C:W,5,)))</f>
        <v/>
      </c>
      <c r="U201" s="18" t="str">
        <f>IF(OR(J201="Krankenstand",J201="Urlaub"),"",IF(J201="","",VLOOKUP(D201,Dienste!C:W,6,)))</f>
        <v/>
      </c>
      <c r="V201" s="18" t="str">
        <f>IF(OR(J201="Krankenstand",J201="Urlaub"),"",IF(J201="","",VLOOKUP(D201,Dienste!C:W,7,)))</f>
        <v/>
      </c>
      <c r="W201" s="18" t="str">
        <f>IF(OR(J201="Krankenstand",J201="Urlaub"),"",IF(J201="","",VLOOKUP(D201,Dienste!C:W,11,)))</f>
        <v/>
      </c>
      <c r="X201" s="18" t="str">
        <f>IF(OR(J201="Krankenstand",J201="Urlaub"),"",IF(J201="","",VLOOKUP(D201,Dienste!C:W,12,)))</f>
        <v/>
      </c>
      <c r="Y201" s="19" t="str">
        <f>IF(OR(J201="Krankenstand",J201="Urlaub"),"",IF(J201="","",VLOOKUP(D201,Dienste!C:W,14,)))</f>
        <v/>
      </c>
      <c r="Z201" s="20" t="str">
        <f>IF(OR(J201="Krankenstand",J201="Urlaub"),"",IF(J201="","",VLOOKUP(D201,Dienste!C:W,15,)))</f>
        <v/>
      </c>
      <c r="AA201" s="124" t="str">
        <f t="shared" si="97"/>
        <v/>
      </c>
      <c r="AB201" s="19" t="str">
        <f t="shared" si="98"/>
        <v/>
      </c>
      <c r="AC201" s="126" t="str">
        <f>_xlfn.CONCAT(_xlfn.CONCAT(IF(I201="","",_xlfn.CONCAT("FT: ",I201,IF(J201="","","; "))),IF(B201&lt;Datenblatt!$B$9,"",IF(B201="","",IF(NOT(J201=""),SUBSTITUTE(SUBSTITUTE(SUBSTITUTE(J201," mR","")," oR","")," O",""),"")))),IF(AF201="","",_xlfn.CONCAT(CHAR(10),"; ",AF201)))</f>
        <v/>
      </c>
      <c r="AD201" s="124" t="str">
        <f t="shared" si="107"/>
        <v/>
      </c>
      <c r="AE201" s="19">
        <f t="shared" si="99"/>
        <v>0</v>
      </c>
      <c r="AF201" s="156"/>
    </row>
    <row r="202" spans="1:32" s="9" customFormat="1" ht="13">
      <c r="B202" s="6">
        <f t="shared" si="100"/>
        <v>44716</v>
      </c>
      <c r="C202" s="45">
        <f>SMALL(Daten!W:W,COUNTIF(Daten!W:W,"&lt;"&amp;Stundenaufzeichnung!B202+1))</f>
        <v>44578</v>
      </c>
      <c r="D202" s="45" t="str">
        <f t="shared" si="95"/>
        <v/>
      </c>
      <c r="E202" s="8">
        <f t="shared" si="96"/>
        <v>1</v>
      </c>
      <c r="F202" s="8">
        <f t="shared" si="101"/>
        <v>6</v>
      </c>
      <c r="G202" s="8">
        <f>IF(B202="","",VLOOKUP(E202,Datenblatt!$L$2:$N$8,3,FALSE))</f>
        <v>0</v>
      </c>
      <c r="H202" s="8" t="str">
        <f t="shared" si="102"/>
        <v/>
      </c>
      <c r="I202" s="11" t="str">
        <f>IFERROR(VLOOKUP(B202,Datenblatt!$E:$F,2,FALSE),"")</f>
        <v/>
      </c>
      <c r="J202" s="113"/>
      <c r="K202" s="19">
        <f>IF(B202&lt;Datenblatt!$B$9,"",IF(B202="","",IF(G202=0,Datenblatt!$B$7,"")))</f>
        <v>6.67</v>
      </c>
      <c r="L202" s="19" t="str">
        <f t="shared" si="103"/>
        <v/>
      </c>
      <c r="M202" s="124" t="str">
        <f t="shared" si="104"/>
        <v/>
      </c>
      <c r="N202" s="124" t="str">
        <f>IF(AND(L202=Datenblatt!$B$7,NOT(L201=Datenblatt!$B$7),NOT(L203=Datenblatt!$B$7)),"y",IF(AND(L202=Datenblatt!$B$7,L203=Datenblatt!$B$7,NOT(L201=Datenblatt!$B$7)),"a",IF(AND(L202=Datenblatt!$B$7,L201=Datenblatt!$B$7,NOT(L203=Datenblatt!$B$7)),"b","")))</f>
        <v/>
      </c>
      <c r="O202" s="19" t="str">
        <f t="shared" si="105"/>
        <v/>
      </c>
      <c r="P202" s="124" t="str">
        <f>IF(AND(M202=Datenblatt!$B$7,NOT(M201=Datenblatt!$B$7),NOT(M203=Datenblatt!$B$7)),"y",IF(AND(M202=Datenblatt!$B$7,M203=Datenblatt!$B$7,NOT(M201=Datenblatt!$B$7)),"a",IF(AND(M202=Datenblatt!$B$7,M201=Datenblatt!$B$7,NOT(M203=Datenblatt!$B$7)),"b","")))</f>
        <v/>
      </c>
      <c r="Q202" s="19" t="str">
        <f t="shared" si="106"/>
        <v/>
      </c>
      <c r="R202" s="124" t="str">
        <f>IF(I202="","",IF(AND(OR(J202="Krankenstand",J202="Urlaub",J202=""), AND(G202=0,NOT(I202=""))),Datenblatt!$B$7,""))</f>
        <v/>
      </c>
      <c r="S202" s="19" t="str">
        <f>IF(OR(J202="Krankenstand",J202="Urlaub"),"",IF(J202="","",VLOOKUP(D202,Dienste!C:W,21,)))</f>
        <v/>
      </c>
      <c r="T202" s="18" t="str">
        <f>IF(OR(J202="Krankenstand",J202="Urlaub"),"",IF(J202="","",VLOOKUP(D202,Dienste!C:W,5,)))</f>
        <v/>
      </c>
      <c r="U202" s="18" t="str">
        <f>IF(OR(J202="Krankenstand",J202="Urlaub"),"",IF(J202="","",VLOOKUP(D202,Dienste!C:W,6,)))</f>
        <v/>
      </c>
      <c r="V202" s="18" t="str">
        <f>IF(OR(J202="Krankenstand",J202="Urlaub"),"",IF(J202="","",VLOOKUP(D202,Dienste!C:W,7,)))</f>
        <v/>
      </c>
      <c r="W202" s="18" t="str">
        <f>IF(OR(J202="Krankenstand",J202="Urlaub"),"",IF(J202="","",VLOOKUP(D202,Dienste!C:W,11,)))</f>
        <v/>
      </c>
      <c r="X202" s="18" t="str">
        <f>IF(OR(J202="Krankenstand",J202="Urlaub"),"",IF(J202="","",VLOOKUP(D202,Dienste!C:W,12,)))</f>
        <v/>
      </c>
      <c r="Y202" s="19" t="str">
        <f>IF(OR(J202="Krankenstand",J202="Urlaub"),"",IF(J202="","",VLOOKUP(D202,Dienste!C:W,14,)))</f>
        <v/>
      </c>
      <c r="Z202" s="20" t="str">
        <f>IF(OR(J202="Krankenstand",J202="Urlaub"),"",IF(J202="","",VLOOKUP(D202,Dienste!C:W,15,)))</f>
        <v/>
      </c>
      <c r="AA202" s="124" t="str">
        <f t="shared" si="97"/>
        <v/>
      </c>
      <c r="AB202" s="19" t="str">
        <f t="shared" si="98"/>
        <v/>
      </c>
      <c r="AC202" s="126" t="str">
        <f>_xlfn.CONCAT(_xlfn.CONCAT(IF(I202="","",_xlfn.CONCAT("FT: ",I202,IF(J202="","","; "))),IF(B202&lt;Datenblatt!$B$9,"",IF(B202="","",IF(NOT(J202=""),SUBSTITUTE(SUBSTITUTE(SUBSTITUTE(J202," mR","")," oR","")," O",""),"")))),IF(AF202="","",_xlfn.CONCAT(CHAR(10),"; ",AF202)))</f>
        <v/>
      </c>
      <c r="AD202" s="124" t="str">
        <f t="shared" si="107"/>
        <v/>
      </c>
      <c r="AE202" s="19">
        <f t="shared" si="99"/>
        <v>0</v>
      </c>
      <c r="AF202" s="156"/>
    </row>
    <row r="203" spans="1:32" s="9" customFormat="1" ht="13">
      <c r="B203" s="6">
        <f t="shared" si="100"/>
        <v>44717</v>
      </c>
      <c r="C203" s="45">
        <f>SMALL(Daten!W:W,COUNTIF(Daten!W:W,"&lt;"&amp;Stundenaufzeichnung!B203+1))</f>
        <v>44578</v>
      </c>
      <c r="D203" s="45" t="str">
        <f t="shared" si="95"/>
        <v/>
      </c>
      <c r="E203" s="8">
        <f t="shared" si="96"/>
        <v>2</v>
      </c>
      <c r="F203" s="8">
        <f t="shared" si="101"/>
        <v>7</v>
      </c>
      <c r="G203" s="8">
        <f>IF(B203="","",VLOOKUP(E203,Datenblatt!$L$2:$N$8,3,FALSE))</f>
        <v>1</v>
      </c>
      <c r="H203" s="8" t="str">
        <f t="shared" si="102"/>
        <v>x</v>
      </c>
      <c r="I203" s="11" t="str">
        <f>IFERROR(VLOOKUP(B203,Datenblatt!$E:$F,2,FALSE),"")</f>
        <v>Pfingstsonntag</v>
      </c>
      <c r="J203" s="113"/>
      <c r="K203" s="19" t="str">
        <f>IF(B203&lt;Datenblatt!$B$9,"",IF(B203="","",IF(G203=0,Datenblatt!$B$7,"")))</f>
        <v/>
      </c>
      <c r="L203" s="19" t="str">
        <f t="shared" si="103"/>
        <v/>
      </c>
      <c r="M203" s="124" t="str">
        <f t="shared" si="104"/>
        <v/>
      </c>
      <c r="N203" s="124" t="str">
        <f>IF(AND(L203=Datenblatt!$B$7,NOT(L202=Datenblatt!$B$7),NOT(L204=Datenblatt!$B$7)),"y",IF(AND(L203=Datenblatt!$B$7,L204=Datenblatt!$B$7,NOT(L202=Datenblatt!$B$7)),"a",IF(AND(L203=Datenblatt!$B$7,L202=Datenblatt!$B$7,NOT(L204=Datenblatt!$B$7)),"b","")))</f>
        <v/>
      </c>
      <c r="O203" s="19" t="str">
        <f t="shared" si="105"/>
        <v/>
      </c>
      <c r="P203" s="124" t="str">
        <f>IF(AND(M203=Datenblatt!$B$7,NOT(M202=Datenblatt!$B$7),NOT(M204=Datenblatt!$B$7)),"y",IF(AND(M203=Datenblatt!$B$7,M204=Datenblatt!$B$7,NOT(M202=Datenblatt!$B$7)),"a",IF(AND(M203=Datenblatt!$B$7,M202=Datenblatt!$B$7,NOT(M204=Datenblatt!$B$7)),"b","")))</f>
        <v/>
      </c>
      <c r="Q203" s="19" t="str">
        <f t="shared" si="106"/>
        <v/>
      </c>
      <c r="R203" s="124" t="str">
        <f>IF(I203="","",IF(AND(OR(J203="Krankenstand",J203="Urlaub",J203=""), AND(G203=0,NOT(I203=""))),Datenblatt!$B$7,""))</f>
        <v/>
      </c>
      <c r="S203" s="19" t="str">
        <f>IF(OR(J203="Krankenstand",J203="Urlaub"),"",IF(J203="","",VLOOKUP(D203,Dienste!C:W,21,)))</f>
        <v/>
      </c>
      <c r="T203" s="18" t="str">
        <f>IF(OR(J203="Krankenstand",J203="Urlaub"),"",IF(J203="","",VLOOKUP(D203,Dienste!C:W,5,)))</f>
        <v/>
      </c>
      <c r="U203" s="18" t="str">
        <f>IF(OR(J203="Krankenstand",J203="Urlaub"),"",IF(J203="","",VLOOKUP(D203,Dienste!C:W,6,)))</f>
        <v/>
      </c>
      <c r="V203" s="18" t="str">
        <f>IF(OR(J203="Krankenstand",J203="Urlaub"),"",IF(J203="","",VLOOKUP(D203,Dienste!C:W,7,)))</f>
        <v/>
      </c>
      <c r="W203" s="18" t="str">
        <f>IF(OR(J203="Krankenstand",J203="Urlaub"),"",IF(J203="","",VLOOKUP(D203,Dienste!C:W,11,)))</f>
        <v/>
      </c>
      <c r="X203" s="18" t="str">
        <f>IF(OR(J203="Krankenstand",J203="Urlaub"),"",IF(J203="","",VLOOKUP(D203,Dienste!C:W,12,)))</f>
        <v/>
      </c>
      <c r="Y203" s="19" t="str">
        <f>IF(OR(J203="Krankenstand",J203="Urlaub"),"",IF(J203="","",VLOOKUP(D203,Dienste!C:W,14,)))</f>
        <v/>
      </c>
      <c r="Z203" s="20" t="str">
        <f>IF(OR(J203="Krankenstand",J203="Urlaub"),"",IF(J203="","",VLOOKUP(D203,Dienste!C:W,15,)))</f>
        <v/>
      </c>
      <c r="AA203" s="124" t="str">
        <f t="shared" si="97"/>
        <v/>
      </c>
      <c r="AB203" s="19" t="str">
        <f t="shared" si="98"/>
        <v/>
      </c>
      <c r="AC203" s="126" t="str">
        <f>_xlfn.CONCAT(_xlfn.CONCAT(IF(I203="","",_xlfn.CONCAT("FT: ",I203,IF(J203="","","; "))),IF(B203&lt;Datenblatt!$B$9,"",IF(B203="","",IF(NOT(J203=""),SUBSTITUTE(SUBSTITUTE(SUBSTITUTE(J203," mR","")," oR","")," O",""),"")))),IF(AF203="","",_xlfn.CONCAT(CHAR(10),"; ",AF203)))</f>
        <v>FT: Pfingstsonntag</v>
      </c>
      <c r="AD203" s="124" t="str">
        <f t="shared" si="107"/>
        <v/>
      </c>
      <c r="AE203" s="19">
        <f t="shared" si="99"/>
        <v>0</v>
      </c>
      <c r="AF203" s="156"/>
    </row>
    <row r="204" spans="1:32" s="9" customFormat="1" ht="13">
      <c r="B204" s="6">
        <f t="shared" si="100"/>
        <v>44718</v>
      </c>
      <c r="C204" s="45">
        <f>SMALL(Daten!W:W,COUNTIF(Daten!W:W,"&lt;"&amp;Stundenaufzeichnung!B204+1))</f>
        <v>44578</v>
      </c>
      <c r="D204" s="45" t="str">
        <f t="shared" si="95"/>
        <v/>
      </c>
      <c r="E204" s="8">
        <f t="shared" si="96"/>
        <v>3</v>
      </c>
      <c r="F204" s="8">
        <f t="shared" si="101"/>
        <v>1</v>
      </c>
      <c r="G204" s="8">
        <f>IF(B204="","",VLOOKUP(E204,Datenblatt!$L$2:$N$8,3,FALSE))</f>
        <v>0</v>
      </c>
      <c r="H204" s="8" t="str">
        <f t="shared" si="102"/>
        <v>x</v>
      </c>
      <c r="I204" s="11" t="str">
        <f>IFERROR(VLOOKUP(B204,Datenblatt!$E:$F,2,FALSE),"")</f>
        <v>Pfingstmontag</v>
      </c>
      <c r="J204" s="113"/>
      <c r="K204" s="19">
        <f>IF(B204&lt;Datenblatt!$B$9,"",IF(B204="","",IF(G204=0,Datenblatt!$B$7,"")))</f>
        <v>6.67</v>
      </c>
      <c r="L204" s="19" t="str">
        <f t="shared" si="103"/>
        <v/>
      </c>
      <c r="M204" s="124" t="str">
        <f t="shared" si="104"/>
        <v/>
      </c>
      <c r="N204" s="124" t="str">
        <f>IF(AND(L204=Datenblatt!$B$7,NOT(L203=Datenblatt!$B$7),NOT(L205=Datenblatt!$B$7)),"y",IF(AND(L204=Datenblatt!$B$7,L205=Datenblatt!$B$7,NOT(L203=Datenblatt!$B$7)),"a",IF(AND(L204=Datenblatt!$B$7,L203=Datenblatt!$B$7,NOT(L205=Datenblatt!$B$7)),"b","")))</f>
        <v/>
      </c>
      <c r="O204" s="19" t="str">
        <f t="shared" si="105"/>
        <v/>
      </c>
      <c r="P204" s="124" t="str">
        <f>IF(AND(M204=Datenblatt!$B$7,NOT(M203=Datenblatt!$B$7),NOT(M205=Datenblatt!$B$7)),"y",IF(AND(M204=Datenblatt!$B$7,M205=Datenblatt!$B$7,NOT(M203=Datenblatt!$B$7)),"a",IF(AND(M204=Datenblatt!$B$7,M203=Datenblatt!$B$7,NOT(M205=Datenblatt!$B$7)),"b","")))</f>
        <v/>
      </c>
      <c r="Q204" s="19" t="str">
        <f t="shared" si="106"/>
        <v/>
      </c>
      <c r="R204" s="124">
        <f>IF(I204="","",IF(AND(OR(J204="Krankenstand",J204="Urlaub",J204=""), AND(G204=0,NOT(I204=""))),Datenblatt!$B$7,""))</f>
        <v>6.67</v>
      </c>
      <c r="S204" s="19" t="str">
        <f>IF(OR(J204="Krankenstand",J204="Urlaub"),"",IF(J204="","",VLOOKUP(D204,Dienste!C:W,21,)))</f>
        <v/>
      </c>
      <c r="T204" s="18" t="str">
        <f>IF(OR(J204="Krankenstand",J204="Urlaub"),"",IF(J204="","",VLOOKUP(D204,Dienste!C:W,5,)))</f>
        <v/>
      </c>
      <c r="U204" s="18" t="str">
        <f>IF(OR(J204="Krankenstand",J204="Urlaub"),"",IF(J204="","",VLOOKUP(D204,Dienste!C:W,6,)))</f>
        <v/>
      </c>
      <c r="V204" s="18" t="str">
        <f>IF(OR(J204="Krankenstand",J204="Urlaub"),"",IF(J204="","",VLOOKUP(D204,Dienste!C:W,7,)))</f>
        <v/>
      </c>
      <c r="W204" s="18" t="str">
        <f>IF(OR(J204="Krankenstand",J204="Urlaub"),"",IF(J204="","",VLOOKUP(D204,Dienste!C:W,11,)))</f>
        <v/>
      </c>
      <c r="X204" s="18" t="str">
        <f>IF(OR(J204="Krankenstand",J204="Urlaub"),"",IF(J204="","",VLOOKUP(D204,Dienste!C:W,12,)))</f>
        <v/>
      </c>
      <c r="Y204" s="19" t="str">
        <f>IF(OR(J204="Krankenstand",J204="Urlaub"),"",IF(J204="","",VLOOKUP(D204,Dienste!C:W,14,)))</f>
        <v/>
      </c>
      <c r="Z204" s="20" t="str">
        <f>IF(OR(J204="Krankenstand",J204="Urlaub"),"",IF(J204="","",VLOOKUP(D204,Dienste!C:W,15,)))</f>
        <v/>
      </c>
      <c r="AA204" s="124" t="str">
        <f t="shared" si="97"/>
        <v/>
      </c>
      <c r="AB204" s="19" t="str">
        <f t="shared" si="98"/>
        <v/>
      </c>
      <c r="AC204" s="126" t="str">
        <f>_xlfn.CONCAT(_xlfn.CONCAT(IF(I204="","",_xlfn.CONCAT("FT: ",I204,IF(J204="","","; "))),IF(B204&lt;Datenblatt!$B$9,"",IF(B204="","",IF(NOT(J204=""),SUBSTITUTE(SUBSTITUTE(SUBSTITUTE(J204," mR","")," oR","")," O",""),"")))),IF(AF204="","",_xlfn.CONCAT(CHAR(10),"; ",AF204)))</f>
        <v>FT: Pfingstmontag</v>
      </c>
      <c r="AD204" s="124">
        <f t="shared" si="107"/>
        <v>6.67</v>
      </c>
      <c r="AE204" s="19">
        <f t="shared" si="99"/>
        <v>0</v>
      </c>
      <c r="AF204" s="156"/>
    </row>
    <row r="205" spans="1:32" s="9" customFormat="1" ht="13">
      <c r="B205" s="6">
        <f t="shared" si="100"/>
        <v>44719</v>
      </c>
      <c r="C205" s="45">
        <f>SMALL(Daten!W:W,COUNTIF(Daten!W:W,"&lt;"&amp;Stundenaufzeichnung!B205+1))</f>
        <v>44578</v>
      </c>
      <c r="D205" s="45" t="str">
        <f t="shared" si="95"/>
        <v/>
      </c>
      <c r="E205" s="8">
        <f t="shared" si="96"/>
        <v>4</v>
      </c>
      <c r="F205" s="8">
        <f t="shared" si="101"/>
        <v>2</v>
      </c>
      <c r="G205" s="8">
        <f>IF(B205="","",VLOOKUP(E205,Datenblatt!$L$2:$N$8,3,FALSE))</f>
        <v>0</v>
      </c>
      <c r="H205" s="8" t="str">
        <f t="shared" si="102"/>
        <v/>
      </c>
      <c r="I205" s="11" t="str">
        <f>IFERROR(VLOOKUP(B205,Datenblatt!$E:$F,2,FALSE),"")</f>
        <v/>
      </c>
      <c r="J205" s="113"/>
      <c r="K205" s="19">
        <f>IF(B205&lt;Datenblatt!$B$9,"",IF(B205="","",IF(G205=0,Datenblatt!$B$7,"")))</f>
        <v>6.67</v>
      </c>
      <c r="L205" s="19" t="str">
        <f t="shared" si="103"/>
        <v/>
      </c>
      <c r="M205" s="124" t="str">
        <f t="shared" si="104"/>
        <v/>
      </c>
      <c r="N205" s="124" t="str">
        <f>IF(AND(L205=Datenblatt!$B$7,NOT(L204=Datenblatt!$B$7),NOT(L206=Datenblatt!$B$7)),"y",IF(AND(L205=Datenblatt!$B$7,L206=Datenblatt!$B$7,NOT(L204=Datenblatt!$B$7)),"a",IF(AND(L205=Datenblatt!$B$7,L204=Datenblatt!$B$7,NOT(L206=Datenblatt!$B$7)),"b","")))</f>
        <v/>
      </c>
      <c r="O205" s="19" t="str">
        <f t="shared" si="105"/>
        <v/>
      </c>
      <c r="P205" s="124" t="str">
        <f>IF(AND(M205=Datenblatt!$B$7,NOT(M204=Datenblatt!$B$7),NOT(M206=Datenblatt!$B$7)),"y",IF(AND(M205=Datenblatt!$B$7,M206=Datenblatt!$B$7,NOT(M204=Datenblatt!$B$7)),"a",IF(AND(M205=Datenblatt!$B$7,M204=Datenblatt!$B$7,NOT(M206=Datenblatt!$B$7)),"b","")))</f>
        <v/>
      </c>
      <c r="Q205" s="19" t="str">
        <f t="shared" si="106"/>
        <v/>
      </c>
      <c r="R205" s="124" t="str">
        <f>IF(I205="","",IF(AND(OR(J205="Krankenstand",J205="Urlaub",J205=""), AND(G205=0,NOT(I205=""))),Datenblatt!$B$7,""))</f>
        <v/>
      </c>
      <c r="S205" s="19" t="str">
        <f>IF(OR(J205="Krankenstand",J205="Urlaub"),"",IF(J205="","",VLOOKUP(D205,Dienste!C:W,21,)))</f>
        <v/>
      </c>
      <c r="T205" s="18" t="str">
        <f>IF(OR(J205="Krankenstand",J205="Urlaub"),"",IF(J205="","",VLOOKUP(D205,Dienste!C:W,5,)))</f>
        <v/>
      </c>
      <c r="U205" s="18" t="str">
        <f>IF(OR(J205="Krankenstand",J205="Urlaub"),"",IF(J205="","",VLOOKUP(D205,Dienste!C:W,6,)))</f>
        <v/>
      </c>
      <c r="V205" s="18" t="str">
        <f>IF(OR(J205="Krankenstand",J205="Urlaub"),"",IF(J205="","",VLOOKUP(D205,Dienste!C:W,7,)))</f>
        <v/>
      </c>
      <c r="W205" s="18" t="str">
        <f>IF(OR(J205="Krankenstand",J205="Urlaub"),"",IF(J205="","",VLOOKUP(D205,Dienste!C:W,11,)))</f>
        <v/>
      </c>
      <c r="X205" s="18" t="str">
        <f>IF(OR(J205="Krankenstand",J205="Urlaub"),"",IF(J205="","",VLOOKUP(D205,Dienste!C:W,12,)))</f>
        <v/>
      </c>
      <c r="Y205" s="19" t="str">
        <f>IF(OR(J205="Krankenstand",J205="Urlaub"),"",IF(J205="","",VLOOKUP(D205,Dienste!C:W,14,)))</f>
        <v/>
      </c>
      <c r="Z205" s="20" t="str">
        <f>IF(OR(J205="Krankenstand",J205="Urlaub"),"",IF(J205="","",VLOOKUP(D205,Dienste!C:W,15,)))</f>
        <v/>
      </c>
      <c r="AA205" s="124" t="str">
        <f t="shared" si="97"/>
        <v/>
      </c>
      <c r="AB205" s="19" t="str">
        <f t="shared" si="98"/>
        <v/>
      </c>
      <c r="AC205" s="126" t="str">
        <f>_xlfn.CONCAT(_xlfn.CONCAT(IF(I205="","",_xlfn.CONCAT("FT: ",I205,IF(J205="","","; "))),IF(B205&lt;Datenblatt!$B$9,"",IF(B205="","",IF(NOT(J205=""),SUBSTITUTE(SUBSTITUTE(SUBSTITUTE(J205," mR","")," oR","")," O",""),"")))),IF(AF205="","",_xlfn.CONCAT(CHAR(10),"; ",AF205)))</f>
        <v/>
      </c>
      <c r="AD205" s="124" t="str">
        <f t="shared" si="107"/>
        <v/>
      </c>
      <c r="AE205" s="19">
        <f t="shared" si="99"/>
        <v>0</v>
      </c>
      <c r="AF205" s="156"/>
    </row>
    <row r="206" spans="1:32" s="9" customFormat="1" ht="13">
      <c r="B206" s="6">
        <f t="shared" si="100"/>
        <v>44720</v>
      </c>
      <c r="C206" s="45">
        <f>SMALL(Daten!W:W,COUNTIF(Daten!W:W,"&lt;"&amp;Stundenaufzeichnung!B206+1))</f>
        <v>44578</v>
      </c>
      <c r="D206" s="45" t="str">
        <f t="shared" si="95"/>
        <v/>
      </c>
      <c r="E206" s="8">
        <f t="shared" si="96"/>
        <v>5</v>
      </c>
      <c r="F206" s="8">
        <f t="shared" si="101"/>
        <v>3</v>
      </c>
      <c r="G206" s="8">
        <f>IF(B206="","",VLOOKUP(E206,Datenblatt!$L$2:$N$8,3,FALSE))</f>
        <v>0</v>
      </c>
      <c r="H206" s="8" t="str">
        <f t="shared" si="102"/>
        <v/>
      </c>
      <c r="I206" s="11" t="str">
        <f>IFERROR(VLOOKUP(B206,Datenblatt!$E:$F,2,FALSE),"")</f>
        <v/>
      </c>
      <c r="J206" s="113"/>
      <c r="K206" s="19">
        <f>IF(B206&lt;Datenblatt!$B$9,"",IF(B206="","",IF(G206=0,Datenblatt!$B$7,"")))</f>
        <v>6.67</v>
      </c>
      <c r="L206" s="19" t="str">
        <f t="shared" si="103"/>
        <v/>
      </c>
      <c r="M206" s="124" t="str">
        <f t="shared" si="104"/>
        <v/>
      </c>
      <c r="N206" s="124" t="str">
        <f>IF(AND(L206=Datenblatt!$B$7,NOT(L205=Datenblatt!$B$7),NOT(L207=Datenblatt!$B$7)),"y",IF(AND(L206=Datenblatt!$B$7,L207=Datenblatt!$B$7,NOT(L205=Datenblatt!$B$7)),"a",IF(AND(L206=Datenblatt!$B$7,L205=Datenblatt!$B$7,NOT(L207=Datenblatt!$B$7)),"b","")))</f>
        <v/>
      </c>
      <c r="O206" s="19" t="str">
        <f t="shared" si="105"/>
        <v/>
      </c>
      <c r="P206" s="124" t="str">
        <f>IF(AND(M206=Datenblatt!$B$7,NOT(M205=Datenblatt!$B$7),NOT(M207=Datenblatt!$B$7)),"y",IF(AND(M206=Datenblatt!$B$7,M207=Datenblatt!$B$7,NOT(M205=Datenblatt!$B$7)),"a",IF(AND(M206=Datenblatt!$B$7,M205=Datenblatt!$B$7,NOT(M207=Datenblatt!$B$7)),"b","")))</f>
        <v/>
      </c>
      <c r="Q206" s="19" t="str">
        <f t="shared" si="106"/>
        <v/>
      </c>
      <c r="R206" s="124" t="str">
        <f>IF(I206="","",IF(AND(OR(J206="Krankenstand",J206="Urlaub",J206=""), AND(G206=0,NOT(I206=""))),Datenblatt!$B$7,""))</f>
        <v/>
      </c>
      <c r="S206" s="19" t="str">
        <f>IF(OR(J206="Krankenstand",J206="Urlaub"),"",IF(J206="","",VLOOKUP(D206,Dienste!C:W,21,)))</f>
        <v/>
      </c>
      <c r="T206" s="18" t="str">
        <f>IF(OR(J206="Krankenstand",J206="Urlaub"),"",IF(J206="","",VLOOKUP(D206,Dienste!C:W,5,)))</f>
        <v/>
      </c>
      <c r="U206" s="18" t="str">
        <f>IF(OR(J206="Krankenstand",J206="Urlaub"),"",IF(J206="","",VLOOKUP(D206,Dienste!C:W,6,)))</f>
        <v/>
      </c>
      <c r="V206" s="18" t="str">
        <f>IF(OR(J206="Krankenstand",J206="Urlaub"),"",IF(J206="","",VLOOKUP(D206,Dienste!C:W,7,)))</f>
        <v/>
      </c>
      <c r="W206" s="18" t="str">
        <f>IF(OR(J206="Krankenstand",J206="Urlaub"),"",IF(J206="","",VLOOKUP(D206,Dienste!C:W,11,)))</f>
        <v/>
      </c>
      <c r="X206" s="18" t="str">
        <f>IF(OR(J206="Krankenstand",J206="Urlaub"),"",IF(J206="","",VLOOKUP(D206,Dienste!C:W,12,)))</f>
        <v/>
      </c>
      <c r="Y206" s="19" t="str">
        <f>IF(OR(J206="Krankenstand",J206="Urlaub"),"",IF(J206="","",VLOOKUP(D206,Dienste!C:W,14,)))</f>
        <v/>
      </c>
      <c r="Z206" s="20" t="str">
        <f>IF(OR(J206="Krankenstand",J206="Urlaub"),"",IF(J206="","",VLOOKUP(D206,Dienste!C:W,15,)))</f>
        <v/>
      </c>
      <c r="AA206" s="124" t="str">
        <f t="shared" si="97"/>
        <v/>
      </c>
      <c r="AB206" s="19" t="str">
        <f t="shared" si="98"/>
        <v/>
      </c>
      <c r="AC206" s="126" t="str">
        <f>_xlfn.CONCAT(_xlfn.CONCAT(IF(I206="","",_xlfn.CONCAT("FT: ",I206,IF(J206="","","; "))),IF(B206&lt;Datenblatt!$B$9,"",IF(B206="","",IF(NOT(J206=""),SUBSTITUTE(SUBSTITUTE(SUBSTITUTE(J206," mR","")," oR","")," O",""),"")))),IF(AF206="","",_xlfn.CONCAT(CHAR(10),"; ",AF206)))</f>
        <v/>
      </c>
      <c r="AD206" s="124" t="str">
        <f t="shared" si="107"/>
        <v/>
      </c>
      <c r="AE206" s="19">
        <f t="shared" si="99"/>
        <v>0</v>
      </c>
      <c r="AF206" s="156"/>
    </row>
    <row r="207" spans="1:32" s="9" customFormat="1" ht="13">
      <c r="B207" s="6">
        <f t="shared" si="100"/>
        <v>44721</v>
      </c>
      <c r="C207" s="45">
        <f>SMALL(Daten!W:W,COUNTIF(Daten!W:W,"&lt;"&amp;Stundenaufzeichnung!B207+1))</f>
        <v>44578</v>
      </c>
      <c r="D207" s="45" t="str">
        <f t="shared" si="95"/>
        <v/>
      </c>
      <c r="E207" s="8">
        <f t="shared" si="96"/>
        <v>6</v>
      </c>
      <c r="F207" s="8">
        <f t="shared" si="101"/>
        <v>4</v>
      </c>
      <c r="G207" s="8">
        <f>IF(B207="","",VLOOKUP(E207,Datenblatt!$L$2:$N$8,3,FALSE))</f>
        <v>0</v>
      </c>
      <c r="H207" s="8" t="str">
        <f t="shared" si="102"/>
        <v/>
      </c>
      <c r="I207" s="11" t="str">
        <f>IFERROR(VLOOKUP(B207,Datenblatt!$E:$F,2,FALSE),"")</f>
        <v/>
      </c>
      <c r="J207" s="113"/>
      <c r="K207" s="19">
        <f>IF(B207&lt;Datenblatt!$B$9,"",IF(B207="","",IF(G207=0,Datenblatt!$B$7,"")))</f>
        <v>6.67</v>
      </c>
      <c r="L207" s="19" t="str">
        <f t="shared" si="103"/>
        <v/>
      </c>
      <c r="M207" s="124" t="str">
        <f t="shared" si="104"/>
        <v/>
      </c>
      <c r="N207" s="124" t="str">
        <f>IF(AND(L207=Datenblatt!$B$7,NOT(L206=Datenblatt!$B$7),NOT(L208=Datenblatt!$B$7)),"y",IF(AND(L207=Datenblatt!$B$7,L208=Datenblatt!$B$7,NOT(L206=Datenblatt!$B$7)),"a",IF(AND(L207=Datenblatt!$B$7,L206=Datenblatt!$B$7,NOT(L208=Datenblatt!$B$7)),"b","")))</f>
        <v/>
      </c>
      <c r="O207" s="19" t="str">
        <f t="shared" si="105"/>
        <v/>
      </c>
      <c r="P207" s="124" t="str">
        <f>IF(AND(M207=Datenblatt!$B$7,NOT(M206=Datenblatt!$B$7),NOT(M208=Datenblatt!$B$7)),"y",IF(AND(M207=Datenblatt!$B$7,M208=Datenblatt!$B$7,NOT(M206=Datenblatt!$B$7)),"a",IF(AND(M207=Datenblatt!$B$7,M206=Datenblatt!$B$7,NOT(M208=Datenblatt!$B$7)),"b","")))</f>
        <v/>
      </c>
      <c r="Q207" s="19" t="str">
        <f t="shared" si="106"/>
        <v/>
      </c>
      <c r="R207" s="124" t="str">
        <f>IF(I207="","",IF(AND(OR(J207="Krankenstand",J207="Urlaub",J207=""), AND(G207=0,NOT(I207=""))),Datenblatt!$B$7,""))</f>
        <v/>
      </c>
      <c r="S207" s="19" t="str">
        <f>IF(OR(J207="Krankenstand",J207="Urlaub"),"",IF(J207="","",VLOOKUP(D207,Dienste!C:W,21,)))</f>
        <v/>
      </c>
      <c r="T207" s="18" t="str">
        <f>IF(OR(J207="Krankenstand",J207="Urlaub"),"",IF(J207="","",VLOOKUP(D207,Dienste!C:W,5,)))</f>
        <v/>
      </c>
      <c r="U207" s="18" t="str">
        <f>IF(OR(J207="Krankenstand",J207="Urlaub"),"",IF(J207="","",VLOOKUP(D207,Dienste!C:W,6,)))</f>
        <v/>
      </c>
      <c r="V207" s="18" t="str">
        <f>IF(OR(J207="Krankenstand",J207="Urlaub"),"",IF(J207="","",VLOOKUP(D207,Dienste!C:W,7,)))</f>
        <v/>
      </c>
      <c r="W207" s="18" t="str">
        <f>IF(OR(J207="Krankenstand",J207="Urlaub"),"",IF(J207="","",VLOOKUP(D207,Dienste!C:W,11,)))</f>
        <v/>
      </c>
      <c r="X207" s="18" t="str">
        <f>IF(OR(J207="Krankenstand",J207="Urlaub"),"",IF(J207="","",VLOOKUP(D207,Dienste!C:W,12,)))</f>
        <v/>
      </c>
      <c r="Y207" s="19" t="str">
        <f>IF(OR(J207="Krankenstand",J207="Urlaub"),"",IF(J207="","",VLOOKUP(D207,Dienste!C:W,14,)))</f>
        <v/>
      </c>
      <c r="Z207" s="20" t="str">
        <f>IF(OR(J207="Krankenstand",J207="Urlaub"),"",IF(J207="","",VLOOKUP(D207,Dienste!C:W,15,)))</f>
        <v/>
      </c>
      <c r="AA207" s="124" t="str">
        <f t="shared" si="97"/>
        <v/>
      </c>
      <c r="AB207" s="19" t="str">
        <f t="shared" si="98"/>
        <v/>
      </c>
      <c r="AC207" s="126" t="str">
        <f>_xlfn.CONCAT(_xlfn.CONCAT(IF(I207="","",_xlfn.CONCAT("FT: ",I207,IF(J207="","","; "))),IF(B207&lt;Datenblatt!$B$9,"",IF(B207="","",IF(NOT(J207=""),SUBSTITUTE(SUBSTITUTE(SUBSTITUTE(J207," mR","")," oR","")," O",""),"")))),IF(AF207="","",_xlfn.CONCAT(CHAR(10),"; ",AF207)))</f>
        <v/>
      </c>
      <c r="AD207" s="124" t="str">
        <f t="shared" si="107"/>
        <v/>
      </c>
      <c r="AE207" s="19">
        <f t="shared" si="99"/>
        <v>0</v>
      </c>
      <c r="AF207" s="156"/>
    </row>
    <row r="208" spans="1:32" s="9" customFormat="1" ht="13">
      <c r="B208" s="6">
        <f t="shared" si="100"/>
        <v>44722</v>
      </c>
      <c r="C208" s="45">
        <f>SMALL(Daten!W:W,COUNTIF(Daten!W:W,"&lt;"&amp;Stundenaufzeichnung!B208+1))</f>
        <v>44578</v>
      </c>
      <c r="D208" s="45" t="str">
        <f t="shared" si="95"/>
        <v/>
      </c>
      <c r="E208" s="8">
        <f t="shared" si="96"/>
        <v>7</v>
      </c>
      <c r="F208" s="8">
        <f t="shared" si="101"/>
        <v>5</v>
      </c>
      <c r="G208" s="8">
        <f>IF(B208="","",VLOOKUP(E208,Datenblatt!$L$2:$N$8,3,FALSE))</f>
        <v>0</v>
      </c>
      <c r="H208" s="8" t="str">
        <f t="shared" si="102"/>
        <v/>
      </c>
      <c r="I208" s="11" t="str">
        <f>IFERROR(VLOOKUP(B208,Datenblatt!$E:$F,2,FALSE),"")</f>
        <v/>
      </c>
      <c r="J208" s="113"/>
      <c r="K208" s="19">
        <f>IF(B208&lt;Datenblatt!$B$9,"",IF(B208="","",IF(G208=0,Datenblatt!$B$7,"")))</f>
        <v>6.67</v>
      </c>
      <c r="L208" s="19" t="str">
        <f t="shared" si="103"/>
        <v/>
      </c>
      <c r="M208" s="124" t="str">
        <f t="shared" si="104"/>
        <v/>
      </c>
      <c r="N208" s="124" t="str">
        <f>IF(AND(L208=Datenblatt!$B$7,NOT(L207=Datenblatt!$B$7),NOT(L209=Datenblatt!$B$7)),"y",IF(AND(L208=Datenblatt!$B$7,L209=Datenblatt!$B$7,NOT(L207=Datenblatt!$B$7)),"a",IF(AND(L208=Datenblatt!$B$7,L207=Datenblatt!$B$7,NOT(L209=Datenblatt!$B$7)),"b","")))</f>
        <v/>
      </c>
      <c r="O208" s="19" t="str">
        <f t="shared" si="105"/>
        <v/>
      </c>
      <c r="P208" s="124" t="str">
        <f>IF(AND(M208=Datenblatt!$B$7,NOT(M207=Datenblatt!$B$7),NOT(M209=Datenblatt!$B$7)),"y",IF(AND(M208=Datenblatt!$B$7,M209=Datenblatt!$B$7,NOT(M207=Datenblatt!$B$7)),"a",IF(AND(M208=Datenblatt!$B$7,M207=Datenblatt!$B$7,NOT(M209=Datenblatt!$B$7)),"b","")))</f>
        <v/>
      </c>
      <c r="Q208" s="19" t="str">
        <f t="shared" si="106"/>
        <v/>
      </c>
      <c r="R208" s="124" t="str">
        <f>IF(I208="","",IF(AND(OR(J208="Krankenstand",J208="Urlaub",J208=""), AND(G208=0,NOT(I208=""))),Datenblatt!$B$7,""))</f>
        <v/>
      </c>
      <c r="S208" s="19" t="str">
        <f>IF(OR(J208="Krankenstand",J208="Urlaub"),"",IF(J208="","",VLOOKUP(D208,Dienste!C:W,21,)))</f>
        <v/>
      </c>
      <c r="T208" s="18" t="str">
        <f>IF(OR(J208="Krankenstand",J208="Urlaub"),"",IF(J208="","",VLOOKUP(D208,Dienste!C:W,5,)))</f>
        <v/>
      </c>
      <c r="U208" s="18" t="str">
        <f>IF(OR(J208="Krankenstand",J208="Urlaub"),"",IF(J208="","",VLOOKUP(D208,Dienste!C:W,6,)))</f>
        <v/>
      </c>
      <c r="V208" s="18" t="str">
        <f>IF(OR(J208="Krankenstand",J208="Urlaub"),"",IF(J208="","",VLOOKUP(D208,Dienste!C:W,7,)))</f>
        <v/>
      </c>
      <c r="W208" s="18" t="str">
        <f>IF(OR(J208="Krankenstand",J208="Urlaub"),"",IF(J208="","",VLOOKUP(D208,Dienste!C:W,11,)))</f>
        <v/>
      </c>
      <c r="X208" s="18" t="str">
        <f>IF(OR(J208="Krankenstand",J208="Urlaub"),"",IF(J208="","",VLOOKUP(D208,Dienste!C:W,12,)))</f>
        <v/>
      </c>
      <c r="Y208" s="19" t="str">
        <f>IF(OR(J208="Krankenstand",J208="Urlaub"),"",IF(J208="","",VLOOKUP(D208,Dienste!C:W,14,)))</f>
        <v/>
      </c>
      <c r="Z208" s="20" t="str">
        <f>IF(OR(J208="Krankenstand",J208="Urlaub"),"",IF(J208="","",VLOOKUP(D208,Dienste!C:W,15,)))</f>
        <v/>
      </c>
      <c r="AA208" s="124" t="str">
        <f t="shared" si="97"/>
        <v/>
      </c>
      <c r="AB208" s="19" t="str">
        <f t="shared" si="98"/>
        <v/>
      </c>
      <c r="AC208" s="126" t="str">
        <f>_xlfn.CONCAT(_xlfn.CONCAT(IF(I208="","",_xlfn.CONCAT("FT: ",I208,IF(J208="","","; "))),IF(B208&lt;Datenblatt!$B$9,"",IF(B208="","",IF(NOT(J208=""),SUBSTITUTE(SUBSTITUTE(SUBSTITUTE(J208," mR","")," oR","")," O",""),"")))),IF(AF208="","",_xlfn.CONCAT(CHAR(10),"; ",AF208)))</f>
        <v/>
      </c>
      <c r="AD208" s="124" t="str">
        <f t="shared" si="107"/>
        <v/>
      </c>
      <c r="AE208" s="19">
        <f t="shared" si="99"/>
        <v>0</v>
      </c>
      <c r="AF208" s="156"/>
    </row>
    <row r="209" spans="2:32" s="9" customFormat="1" ht="13">
      <c r="B209" s="6">
        <f t="shared" si="100"/>
        <v>44723</v>
      </c>
      <c r="C209" s="45">
        <f>SMALL(Daten!W:W,COUNTIF(Daten!W:W,"&lt;"&amp;Stundenaufzeichnung!B209+1))</f>
        <v>44578</v>
      </c>
      <c r="D209" s="45" t="str">
        <f t="shared" si="95"/>
        <v/>
      </c>
      <c r="E209" s="8">
        <f t="shared" si="96"/>
        <v>1</v>
      </c>
      <c r="F209" s="8">
        <f t="shared" si="101"/>
        <v>6</v>
      </c>
      <c r="G209" s="8">
        <f>IF(B209="","",VLOOKUP(E209,Datenblatt!$L$2:$N$8,3,FALSE))</f>
        <v>0</v>
      </c>
      <c r="H209" s="8" t="str">
        <f t="shared" si="102"/>
        <v/>
      </c>
      <c r="I209" s="11" t="str">
        <f>IFERROR(VLOOKUP(B209,Datenblatt!$E:$F,2,FALSE),"")</f>
        <v/>
      </c>
      <c r="J209" s="113"/>
      <c r="K209" s="19">
        <f>IF(B209&lt;Datenblatt!$B$9,"",IF(B209="","",IF(G209=0,Datenblatt!$B$7,"")))</f>
        <v>6.67</v>
      </c>
      <c r="L209" s="19" t="str">
        <f t="shared" si="103"/>
        <v/>
      </c>
      <c r="M209" s="124" t="str">
        <f t="shared" si="104"/>
        <v/>
      </c>
      <c r="N209" s="124" t="str">
        <f>IF(AND(L209=Datenblatt!$B$7,NOT(L208=Datenblatt!$B$7),NOT(L210=Datenblatt!$B$7)),"y",IF(AND(L209=Datenblatt!$B$7,L210=Datenblatt!$B$7,NOT(L208=Datenblatt!$B$7)),"a",IF(AND(L209=Datenblatt!$B$7,L208=Datenblatt!$B$7,NOT(L210=Datenblatt!$B$7)),"b","")))</f>
        <v/>
      </c>
      <c r="O209" s="19" t="str">
        <f t="shared" si="105"/>
        <v/>
      </c>
      <c r="P209" s="124" t="str">
        <f>IF(AND(M209=Datenblatt!$B$7,NOT(M208=Datenblatt!$B$7),NOT(M210=Datenblatt!$B$7)),"y",IF(AND(M209=Datenblatt!$B$7,M210=Datenblatt!$B$7,NOT(M208=Datenblatt!$B$7)),"a",IF(AND(M209=Datenblatt!$B$7,M208=Datenblatt!$B$7,NOT(M210=Datenblatt!$B$7)),"b","")))</f>
        <v/>
      </c>
      <c r="Q209" s="19" t="str">
        <f t="shared" si="106"/>
        <v/>
      </c>
      <c r="R209" s="124" t="str">
        <f>IF(I209="","",IF(AND(OR(J209="Krankenstand",J209="Urlaub",J209=""), AND(G209=0,NOT(I209=""))),Datenblatt!$B$7,""))</f>
        <v/>
      </c>
      <c r="S209" s="19" t="str">
        <f>IF(OR(J209="Krankenstand",J209="Urlaub"),"",IF(J209="","",VLOOKUP(D209,Dienste!C:W,21,)))</f>
        <v/>
      </c>
      <c r="T209" s="18" t="str">
        <f>IF(OR(J209="Krankenstand",J209="Urlaub"),"",IF(J209="","",VLOOKUP(D209,Dienste!C:W,5,)))</f>
        <v/>
      </c>
      <c r="U209" s="18" t="str">
        <f>IF(OR(J209="Krankenstand",J209="Urlaub"),"",IF(J209="","",VLOOKUP(D209,Dienste!C:W,6,)))</f>
        <v/>
      </c>
      <c r="V209" s="18" t="str">
        <f>IF(OR(J209="Krankenstand",J209="Urlaub"),"",IF(J209="","",VLOOKUP(D209,Dienste!C:W,7,)))</f>
        <v/>
      </c>
      <c r="W209" s="18" t="str">
        <f>IF(OR(J209="Krankenstand",J209="Urlaub"),"",IF(J209="","",VLOOKUP(D209,Dienste!C:W,11,)))</f>
        <v/>
      </c>
      <c r="X209" s="18" t="str">
        <f>IF(OR(J209="Krankenstand",J209="Urlaub"),"",IF(J209="","",VLOOKUP(D209,Dienste!C:W,12,)))</f>
        <v/>
      </c>
      <c r="Y209" s="19" t="str">
        <f>IF(OR(J209="Krankenstand",J209="Urlaub"),"",IF(J209="","",VLOOKUP(D209,Dienste!C:W,14,)))</f>
        <v/>
      </c>
      <c r="Z209" s="20" t="str">
        <f>IF(OR(J209="Krankenstand",J209="Urlaub"),"",IF(J209="","",VLOOKUP(D209,Dienste!C:W,15,)))</f>
        <v/>
      </c>
      <c r="AA209" s="124" t="str">
        <f t="shared" si="97"/>
        <v/>
      </c>
      <c r="AB209" s="19" t="str">
        <f t="shared" si="98"/>
        <v/>
      </c>
      <c r="AC209" s="126" t="str">
        <f>_xlfn.CONCAT(_xlfn.CONCAT(IF(I209="","",_xlfn.CONCAT("FT: ",I209,IF(J209="","","; "))),IF(B209&lt;Datenblatt!$B$9,"",IF(B209="","",IF(NOT(J209=""),SUBSTITUTE(SUBSTITUTE(SUBSTITUTE(J209," mR","")," oR","")," O",""),"")))),IF(AF209="","",_xlfn.CONCAT(CHAR(10),"; ",AF209)))</f>
        <v/>
      </c>
      <c r="AD209" s="124" t="str">
        <f t="shared" si="107"/>
        <v/>
      </c>
      <c r="AE209" s="19">
        <f t="shared" si="99"/>
        <v>0</v>
      </c>
      <c r="AF209" s="156"/>
    </row>
    <row r="210" spans="2:32" s="9" customFormat="1" ht="13">
      <c r="B210" s="6">
        <f t="shared" si="100"/>
        <v>44724</v>
      </c>
      <c r="C210" s="45">
        <f>SMALL(Daten!W:W,COUNTIF(Daten!W:W,"&lt;"&amp;Stundenaufzeichnung!B210+1))</f>
        <v>44578</v>
      </c>
      <c r="D210" s="45" t="str">
        <f t="shared" si="95"/>
        <v/>
      </c>
      <c r="E210" s="8">
        <f t="shared" si="96"/>
        <v>2</v>
      </c>
      <c r="F210" s="8">
        <f t="shared" si="101"/>
        <v>7</v>
      </c>
      <c r="G210" s="8">
        <f>IF(B210="","",VLOOKUP(E210,Datenblatt!$L$2:$N$8,3,FALSE))</f>
        <v>1</v>
      </c>
      <c r="H210" s="8" t="str">
        <f t="shared" si="102"/>
        <v>x</v>
      </c>
      <c r="I210" s="11" t="str">
        <f>IFERROR(VLOOKUP(B210,Datenblatt!$E:$F,2,FALSE),"")</f>
        <v/>
      </c>
      <c r="J210" s="113"/>
      <c r="K210" s="19" t="str">
        <f>IF(B210&lt;Datenblatt!$B$9,"",IF(B210="","",IF(G210=0,Datenblatt!$B$7,"")))</f>
        <v/>
      </c>
      <c r="L210" s="19" t="str">
        <f t="shared" si="103"/>
        <v/>
      </c>
      <c r="M210" s="124" t="str">
        <f t="shared" si="104"/>
        <v/>
      </c>
      <c r="N210" s="124" t="str">
        <f>IF(AND(L210=Datenblatt!$B$7,NOT(L209=Datenblatt!$B$7),NOT(L211=Datenblatt!$B$7)),"y",IF(AND(L210=Datenblatt!$B$7,L211=Datenblatt!$B$7,NOT(L209=Datenblatt!$B$7)),"a",IF(AND(L210=Datenblatt!$B$7,L209=Datenblatt!$B$7,NOT(L211=Datenblatt!$B$7)),"b","")))</f>
        <v/>
      </c>
      <c r="O210" s="19" t="str">
        <f t="shared" si="105"/>
        <v/>
      </c>
      <c r="P210" s="124" t="str">
        <f>IF(AND(M210=Datenblatt!$B$7,NOT(M209=Datenblatt!$B$7),NOT(M211=Datenblatt!$B$7)),"y",IF(AND(M210=Datenblatt!$B$7,M211=Datenblatt!$B$7,NOT(M209=Datenblatt!$B$7)),"a",IF(AND(M210=Datenblatt!$B$7,M209=Datenblatt!$B$7,NOT(M211=Datenblatt!$B$7)),"b","")))</f>
        <v/>
      </c>
      <c r="Q210" s="19" t="str">
        <f t="shared" si="106"/>
        <v/>
      </c>
      <c r="R210" s="124" t="str">
        <f>IF(I210="","",IF(AND(OR(J210="Krankenstand",J210="Urlaub",J210=""), AND(G210=0,NOT(I210=""))),Datenblatt!$B$7,""))</f>
        <v/>
      </c>
      <c r="S210" s="19" t="str">
        <f>IF(OR(J210="Krankenstand",J210="Urlaub"),"",IF(J210="","",VLOOKUP(D210,Dienste!C:W,21,)))</f>
        <v/>
      </c>
      <c r="T210" s="18" t="str">
        <f>IF(OR(J210="Krankenstand",J210="Urlaub"),"",IF(J210="","",VLOOKUP(D210,Dienste!C:W,5,)))</f>
        <v/>
      </c>
      <c r="U210" s="18" t="str">
        <f>IF(OR(J210="Krankenstand",J210="Urlaub"),"",IF(J210="","",VLOOKUP(D210,Dienste!C:W,6,)))</f>
        <v/>
      </c>
      <c r="V210" s="18" t="str">
        <f>IF(OR(J210="Krankenstand",J210="Urlaub"),"",IF(J210="","",VLOOKUP(D210,Dienste!C:W,7,)))</f>
        <v/>
      </c>
      <c r="W210" s="18" t="str">
        <f>IF(OR(J210="Krankenstand",J210="Urlaub"),"",IF(J210="","",VLOOKUP(D210,Dienste!C:W,11,)))</f>
        <v/>
      </c>
      <c r="X210" s="18" t="str">
        <f>IF(OR(J210="Krankenstand",J210="Urlaub"),"",IF(J210="","",VLOOKUP(D210,Dienste!C:W,12,)))</f>
        <v/>
      </c>
      <c r="Y210" s="19" t="str">
        <f>IF(OR(J210="Krankenstand",J210="Urlaub"),"",IF(J210="","",VLOOKUP(D210,Dienste!C:W,14,)))</f>
        <v/>
      </c>
      <c r="Z210" s="20" t="str">
        <f>IF(OR(J210="Krankenstand",J210="Urlaub"),"",IF(J210="","",VLOOKUP(D210,Dienste!C:W,15,)))</f>
        <v/>
      </c>
      <c r="AA210" s="124" t="str">
        <f t="shared" si="97"/>
        <v/>
      </c>
      <c r="AB210" s="19" t="str">
        <f t="shared" si="98"/>
        <v/>
      </c>
      <c r="AC210" s="126" t="str">
        <f>_xlfn.CONCAT(_xlfn.CONCAT(IF(I210="","",_xlfn.CONCAT("FT: ",I210,IF(J210="","","; "))),IF(B210&lt;Datenblatt!$B$9,"",IF(B210="","",IF(NOT(J210=""),SUBSTITUTE(SUBSTITUTE(SUBSTITUTE(J210," mR","")," oR","")," O",""),"")))),IF(AF210="","",_xlfn.CONCAT(CHAR(10),"; ",AF210)))</f>
        <v/>
      </c>
      <c r="AD210" s="124" t="str">
        <f t="shared" si="107"/>
        <v/>
      </c>
      <c r="AE210" s="19">
        <f t="shared" si="99"/>
        <v>0</v>
      </c>
      <c r="AF210" s="156"/>
    </row>
    <row r="211" spans="2:32" s="9" customFormat="1" ht="13">
      <c r="B211" s="6">
        <f t="shared" si="100"/>
        <v>44725</v>
      </c>
      <c r="C211" s="45">
        <f>SMALL(Daten!W:W,COUNTIF(Daten!W:W,"&lt;"&amp;Stundenaufzeichnung!B211+1))</f>
        <v>44578</v>
      </c>
      <c r="D211" s="45" t="str">
        <f t="shared" si="95"/>
        <v/>
      </c>
      <c r="E211" s="8">
        <f t="shared" si="96"/>
        <v>3</v>
      </c>
      <c r="F211" s="8">
        <f t="shared" si="101"/>
        <v>1</v>
      </c>
      <c r="G211" s="8">
        <f>IF(B211="","",VLOOKUP(E211,Datenblatt!$L$2:$N$8,3,FALSE))</f>
        <v>0</v>
      </c>
      <c r="H211" s="8" t="str">
        <f t="shared" si="102"/>
        <v/>
      </c>
      <c r="I211" s="11" t="str">
        <f>IFERROR(VLOOKUP(B211,Datenblatt!$E:$F,2,FALSE),"")</f>
        <v/>
      </c>
      <c r="J211" s="113"/>
      <c r="K211" s="19">
        <f>IF(B211&lt;Datenblatt!$B$9,"",IF(B211="","",IF(G211=0,Datenblatt!$B$7,"")))</f>
        <v>6.67</v>
      </c>
      <c r="L211" s="19" t="str">
        <f t="shared" si="103"/>
        <v/>
      </c>
      <c r="M211" s="124" t="str">
        <f t="shared" si="104"/>
        <v/>
      </c>
      <c r="N211" s="124" t="str">
        <f>IF(AND(L211=Datenblatt!$B$7,NOT(L210=Datenblatt!$B$7),NOT(L212=Datenblatt!$B$7)),"y",IF(AND(L211=Datenblatt!$B$7,L212=Datenblatt!$B$7,NOT(L210=Datenblatt!$B$7)),"a",IF(AND(L211=Datenblatt!$B$7,L210=Datenblatt!$B$7,NOT(L212=Datenblatt!$B$7)),"b","")))</f>
        <v/>
      </c>
      <c r="O211" s="19" t="str">
        <f t="shared" si="105"/>
        <v/>
      </c>
      <c r="P211" s="124" t="str">
        <f>IF(AND(M211=Datenblatt!$B$7,NOT(M210=Datenblatt!$B$7),NOT(M212=Datenblatt!$B$7)),"y",IF(AND(M211=Datenblatt!$B$7,M212=Datenblatt!$B$7,NOT(M210=Datenblatt!$B$7)),"a",IF(AND(M211=Datenblatt!$B$7,M210=Datenblatt!$B$7,NOT(M212=Datenblatt!$B$7)),"b","")))</f>
        <v/>
      </c>
      <c r="Q211" s="19" t="str">
        <f t="shared" si="106"/>
        <v/>
      </c>
      <c r="R211" s="124" t="str">
        <f>IF(I211="","",IF(AND(OR(J211="Krankenstand",J211="Urlaub",J211=""), AND(G211=0,NOT(I211=""))),Datenblatt!$B$7,""))</f>
        <v/>
      </c>
      <c r="S211" s="19" t="str">
        <f>IF(OR(J211="Krankenstand",J211="Urlaub"),"",IF(J211="","",VLOOKUP(D211,Dienste!C:W,21,)))</f>
        <v/>
      </c>
      <c r="T211" s="18" t="str">
        <f>IF(OR(J211="Krankenstand",J211="Urlaub"),"",IF(J211="","",VLOOKUP(D211,Dienste!C:W,5,)))</f>
        <v/>
      </c>
      <c r="U211" s="18" t="str">
        <f>IF(OR(J211="Krankenstand",J211="Urlaub"),"",IF(J211="","",VLOOKUP(D211,Dienste!C:W,6,)))</f>
        <v/>
      </c>
      <c r="V211" s="18" t="str">
        <f>IF(OR(J211="Krankenstand",J211="Urlaub"),"",IF(J211="","",VLOOKUP(D211,Dienste!C:W,7,)))</f>
        <v/>
      </c>
      <c r="W211" s="18" t="str">
        <f>IF(OR(J211="Krankenstand",J211="Urlaub"),"",IF(J211="","",VLOOKUP(D211,Dienste!C:W,11,)))</f>
        <v/>
      </c>
      <c r="X211" s="18" t="str">
        <f>IF(OR(J211="Krankenstand",J211="Urlaub"),"",IF(J211="","",VLOOKUP(D211,Dienste!C:W,12,)))</f>
        <v/>
      </c>
      <c r="Y211" s="19" t="str">
        <f>IF(OR(J211="Krankenstand",J211="Urlaub"),"",IF(J211="","",VLOOKUP(D211,Dienste!C:W,14,)))</f>
        <v/>
      </c>
      <c r="Z211" s="20" t="str">
        <f>IF(OR(J211="Krankenstand",J211="Urlaub"),"",IF(J211="","",VLOOKUP(D211,Dienste!C:W,15,)))</f>
        <v/>
      </c>
      <c r="AA211" s="124" t="str">
        <f t="shared" si="97"/>
        <v/>
      </c>
      <c r="AB211" s="19" t="str">
        <f t="shared" si="98"/>
        <v/>
      </c>
      <c r="AC211" s="126" t="str">
        <f>_xlfn.CONCAT(_xlfn.CONCAT(IF(I211="","",_xlfn.CONCAT("FT: ",I211,IF(J211="","","; "))),IF(B211&lt;Datenblatt!$B$9,"",IF(B211="","",IF(NOT(J211=""),SUBSTITUTE(SUBSTITUTE(SUBSTITUTE(J211," mR","")," oR","")," O",""),"")))),IF(AF211="","",_xlfn.CONCAT(CHAR(10),"; ",AF211)))</f>
        <v/>
      </c>
      <c r="AD211" s="124" t="str">
        <f t="shared" si="107"/>
        <v/>
      </c>
      <c r="AE211" s="19">
        <f t="shared" si="99"/>
        <v>0</v>
      </c>
      <c r="AF211" s="156"/>
    </row>
    <row r="212" spans="2:32" s="9" customFormat="1" ht="13">
      <c r="B212" s="6">
        <f t="shared" si="100"/>
        <v>44726</v>
      </c>
      <c r="C212" s="45">
        <f>SMALL(Daten!W:W,COUNTIF(Daten!W:W,"&lt;"&amp;Stundenaufzeichnung!B212+1))</f>
        <v>44578</v>
      </c>
      <c r="D212" s="45" t="str">
        <f t="shared" si="95"/>
        <v/>
      </c>
      <c r="E212" s="8">
        <f t="shared" si="96"/>
        <v>4</v>
      </c>
      <c r="F212" s="8">
        <f t="shared" si="101"/>
        <v>2</v>
      </c>
      <c r="G212" s="8">
        <f>IF(B212="","",VLOOKUP(E212,Datenblatt!$L$2:$N$8,3,FALSE))</f>
        <v>0</v>
      </c>
      <c r="H212" s="8" t="str">
        <f t="shared" si="102"/>
        <v/>
      </c>
      <c r="I212" s="11" t="str">
        <f>IFERROR(VLOOKUP(B212,Datenblatt!$E:$F,2,FALSE),"")</f>
        <v/>
      </c>
      <c r="J212" s="113"/>
      <c r="K212" s="19">
        <f>IF(B212&lt;Datenblatt!$B$9,"",IF(B212="","",IF(G212=0,Datenblatt!$B$7,"")))</f>
        <v>6.67</v>
      </c>
      <c r="L212" s="19" t="str">
        <f t="shared" si="103"/>
        <v/>
      </c>
      <c r="M212" s="124" t="str">
        <f t="shared" si="104"/>
        <v/>
      </c>
      <c r="N212" s="124" t="str">
        <f>IF(AND(L212=Datenblatt!$B$7,NOT(L211=Datenblatt!$B$7),NOT(L213=Datenblatt!$B$7)),"y",IF(AND(L212=Datenblatt!$B$7,L213=Datenblatt!$B$7,NOT(L211=Datenblatt!$B$7)),"a",IF(AND(L212=Datenblatt!$B$7,L211=Datenblatt!$B$7,NOT(L213=Datenblatt!$B$7)),"b","")))</f>
        <v/>
      </c>
      <c r="O212" s="19" t="str">
        <f t="shared" si="105"/>
        <v/>
      </c>
      <c r="P212" s="124" t="str">
        <f>IF(AND(M212=Datenblatt!$B$7,NOT(M211=Datenblatt!$B$7),NOT(M213=Datenblatt!$B$7)),"y",IF(AND(M212=Datenblatt!$B$7,M213=Datenblatt!$B$7,NOT(M211=Datenblatt!$B$7)),"a",IF(AND(M212=Datenblatt!$B$7,M211=Datenblatt!$B$7,NOT(M213=Datenblatt!$B$7)),"b","")))</f>
        <v/>
      </c>
      <c r="Q212" s="19" t="str">
        <f t="shared" si="106"/>
        <v/>
      </c>
      <c r="R212" s="124" t="str">
        <f>IF(I212="","",IF(AND(OR(J212="Krankenstand",J212="Urlaub",J212=""), AND(G212=0,NOT(I212=""))),Datenblatt!$B$7,""))</f>
        <v/>
      </c>
      <c r="S212" s="19" t="str">
        <f>IF(OR(J212="Krankenstand",J212="Urlaub"),"",IF(J212="","",VLOOKUP(D212,Dienste!C:W,21,)))</f>
        <v/>
      </c>
      <c r="T212" s="18" t="str">
        <f>IF(OR(J212="Krankenstand",J212="Urlaub"),"",IF(J212="","",VLOOKUP(D212,Dienste!C:W,5,)))</f>
        <v/>
      </c>
      <c r="U212" s="18" t="str">
        <f>IF(OR(J212="Krankenstand",J212="Urlaub"),"",IF(J212="","",VLOOKUP(D212,Dienste!C:W,6,)))</f>
        <v/>
      </c>
      <c r="V212" s="18" t="str">
        <f>IF(OR(J212="Krankenstand",J212="Urlaub"),"",IF(J212="","",VLOOKUP(D212,Dienste!C:W,7,)))</f>
        <v/>
      </c>
      <c r="W212" s="18" t="str">
        <f>IF(OR(J212="Krankenstand",J212="Urlaub"),"",IF(J212="","",VLOOKUP(D212,Dienste!C:W,11,)))</f>
        <v/>
      </c>
      <c r="X212" s="18" t="str">
        <f>IF(OR(J212="Krankenstand",J212="Urlaub"),"",IF(J212="","",VLOOKUP(D212,Dienste!C:W,12,)))</f>
        <v/>
      </c>
      <c r="Y212" s="19" t="str">
        <f>IF(OR(J212="Krankenstand",J212="Urlaub"),"",IF(J212="","",VLOOKUP(D212,Dienste!C:W,14,)))</f>
        <v/>
      </c>
      <c r="Z212" s="20" t="str">
        <f>IF(OR(J212="Krankenstand",J212="Urlaub"),"",IF(J212="","",VLOOKUP(D212,Dienste!C:W,15,)))</f>
        <v/>
      </c>
      <c r="AA212" s="124" t="str">
        <f t="shared" si="97"/>
        <v/>
      </c>
      <c r="AB212" s="19" t="str">
        <f t="shared" si="98"/>
        <v/>
      </c>
      <c r="AC212" s="126" t="str">
        <f>_xlfn.CONCAT(_xlfn.CONCAT(IF(I212="","",_xlfn.CONCAT("FT: ",I212,IF(J212="","","; "))),IF(B212&lt;Datenblatt!$B$9,"",IF(B212="","",IF(NOT(J212=""),SUBSTITUTE(SUBSTITUTE(SUBSTITUTE(J212," mR","")," oR","")," O",""),"")))),IF(AF212="","",_xlfn.CONCAT(CHAR(10),"; ",AF212)))</f>
        <v/>
      </c>
      <c r="AD212" s="124" t="str">
        <f t="shared" si="107"/>
        <v/>
      </c>
      <c r="AE212" s="19">
        <f t="shared" si="99"/>
        <v>0</v>
      </c>
      <c r="AF212" s="156"/>
    </row>
    <row r="213" spans="2:32" s="9" customFormat="1" ht="13">
      <c r="B213" s="6">
        <f t="shared" si="100"/>
        <v>44727</v>
      </c>
      <c r="C213" s="45">
        <f>SMALL(Daten!W:W,COUNTIF(Daten!W:W,"&lt;"&amp;Stundenaufzeichnung!B213+1))</f>
        <v>44578</v>
      </c>
      <c r="D213" s="45" t="str">
        <f t="shared" si="95"/>
        <v/>
      </c>
      <c r="E213" s="8">
        <f t="shared" si="96"/>
        <v>5</v>
      </c>
      <c r="F213" s="8">
        <f t="shared" si="101"/>
        <v>3</v>
      </c>
      <c r="G213" s="8">
        <f>IF(B213="","",VLOOKUP(E213,Datenblatt!$L$2:$N$8,3,FALSE))</f>
        <v>0</v>
      </c>
      <c r="H213" s="8" t="str">
        <f t="shared" si="102"/>
        <v/>
      </c>
      <c r="I213" s="11" t="str">
        <f>IFERROR(VLOOKUP(B213,Datenblatt!$E:$F,2,FALSE),"")</f>
        <v/>
      </c>
      <c r="J213" s="113"/>
      <c r="K213" s="19">
        <f>IF(B213&lt;Datenblatt!$B$9,"",IF(B213="","",IF(G213=0,Datenblatt!$B$7,"")))</f>
        <v>6.67</v>
      </c>
      <c r="L213" s="19" t="str">
        <f t="shared" si="103"/>
        <v/>
      </c>
      <c r="M213" s="124" t="str">
        <f t="shared" si="104"/>
        <v/>
      </c>
      <c r="N213" s="124" t="str">
        <f>IF(AND(L213=Datenblatt!$B$7,NOT(L212=Datenblatt!$B$7),NOT(L214=Datenblatt!$B$7)),"y",IF(AND(L213=Datenblatt!$B$7,L214=Datenblatt!$B$7,NOT(L212=Datenblatt!$B$7)),"a",IF(AND(L213=Datenblatt!$B$7,L212=Datenblatt!$B$7,NOT(L214=Datenblatt!$B$7)),"b","")))</f>
        <v/>
      </c>
      <c r="O213" s="19" t="str">
        <f t="shared" si="105"/>
        <v/>
      </c>
      <c r="P213" s="124" t="str">
        <f>IF(AND(M213=Datenblatt!$B$7,NOT(M212=Datenblatt!$B$7),NOT(M214=Datenblatt!$B$7)),"y",IF(AND(M213=Datenblatt!$B$7,M214=Datenblatt!$B$7,NOT(M212=Datenblatt!$B$7)),"a",IF(AND(M213=Datenblatt!$B$7,M212=Datenblatt!$B$7,NOT(M214=Datenblatt!$B$7)),"b","")))</f>
        <v/>
      </c>
      <c r="Q213" s="19" t="str">
        <f t="shared" si="106"/>
        <v/>
      </c>
      <c r="R213" s="124" t="str">
        <f>IF(I213="","",IF(AND(OR(J213="Krankenstand",J213="Urlaub",J213=""), AND(G213=0,NOT(I213=""))),Datenblatt!$B$7,""))</f>
        <v/>
      </c>
      <c r="S213" s="19" t="str">
        <f>IF(OR(J213="Krankenstand",J213="Urlaub"),"",IF(J213="","",VLOOKUP(D213,Dienste!C:W,21,)))</f>
        <v/>
      </c>
      <c r="T213" s="18" t="str">
        <f>IF(OR(J213="Krankenstand",J213="Urlaub"),"",IF(J213="","",VLOOKUP(D213,Dienste!C:W,5,)))</f>
        <v/>
      </c>
      <c r="U213" s="18" t="str">
        <f>IF(OR(J213="Krankenstand",J213="Urlaub"),"",IF(J213="","",VLOOKUP(D213,Dienste!C:W,6,)))</f>
        <v/>
      </c>
      <c r="V213" s="18" t="str">
        <f>IF(OR(J213="Krankenstand",J213="Urlaub"),"",IF(J213="","",VLOOKUP(D213,Dienste!C:W,7,)))</f>
        <v/>
      </c>
      <c r="W213" s="18" t="str">
        <f>IF(OR(J213="Krankenstand",J213="Urlaub"),"",IF(J213="","",VLOOKUP(D213,Dienste!C:W,11,)))</f>
        <v/>
      </c>
      <c r="X213" s="18" t="str">
        <f>IF(OR(J213="Krankenstand",J213="Urlaub"),"",IF(J213="","",VLOOKUP(D213,Dienste!C:W,12,)))</f>
        <v/>
      </c>
      <c r="Y213" s="19" t="str">
        <f>IF(OR(J213="Krankenstand",J213="Urlaub"),"",IF(J213="","",VLOOKUP(D213,Dienste!C:W,14,)))</f>
        <v/>
      </c>
      <c r="Z213" s="20" t="str">
        <f>IF(OR(J213="Krankenstand",J213="Urlaub"),"",IF(J213="","",VLOOKUP(D213,Dienste!C:W,15,)))</f>
        <v/>
      </c>
      <c r="AA213" s="124" t="str">
        <f t="shared" si="97"/>
        <v/>
      </c>
      <c r="AB213" s="19" t="str">
        <f t="shared" si="98"/>
        <v/>
      </c>
      <c r="AC213" s="126" t="str">
        <f>_xlfn.CONCAT(_xlfn.CONCAT(IF(I213="","",_xlfn.CONCAT("FT: ",I213,IF(J213="","","; "))),IF(B213&lt;Datenblatt!$B$9,"",IF(B213="","",IF(NOT(J213=""),SUBSTITUTE(SUBSTITUTE(SUBSTITUTE(J213," mR","")," oR","")," O",""),"")))),IF(AF213="","",_xlfn.CONCAT(CHAR(10),"; ",AF213)))</f>
        <v/>
      </c>
      <c r="AD213" s="124" t="str">
        <f t="shared" si="107"/>
        <v/>
      </c>
      <c r="AE213" s="19">
        <f t="shared" si="99"/>
        <v>0</v>
      </c>
      <c r="AF213" s="156"/>
    </row>
    <row r="214" spans="2:32" s="9" customFormat="1" ht="13">
      <c r="B214" s="6">
        <f t="shared" si="100"/>
        <v>44728</v>
      </c>
      <c r="C214" s="45">
        <f>SMALL(Daten!W:W,COUNTIF(Daten!W:W,"&lt;"&amp;Stundenaufzeichnung!B214+1))</f>
        <v>44578</v>
      </c>
      <c r="D214" s="45" t="str">
        <f t="shared" si="95"/>
        <v/>
      </c>
      <c r="E214" s="8">
        <f t="shared" si="96"/>
        <v>6</v>
      </c>
      <c r="F214" s="8">
        <f t="shared" si="101"/>
        <v>4</v>
      </c>
      <c r="G214" s="8">
        <f>IF(B214="","",VLOOKUP(E214,Datenblatt!$L$2:$N$8,3,FALSE))</f>
        <v>0</v>
      </c>
      <c r="H214" s="8" t="str">
        <f t="shared" si="102"/>
        <v>x</v>
      </c>
      <c r="I214" s="11" t="str">
        <f>IFERROR(VLOOKUP(B214,Datenblatt!$E:$F,2,FALSE),"")</f>
        <v>Fronleichnam</v>
      </c>
      <c r="J214" s="113"/>
      <c r="K214" s="19">
        <f>IF(B214&lt;Datenblatt!$B$9,"",IF(B214="","",IF(G214=0,Datenblatt!$B$7,"")))</f>
        <v>6.67</v>
      </c>
      <c r="L214" s="19" t="str">
        <f t="shared" si="103"/>
        <v/>
      </c>
      <c r="M214" s="124" t="str">
        <f t="shared" si="104"/>
        <v/>
      </c>
      <c r="N214" s="124" t="str">
        <f>IF(AND(L214=Datenblatt!$B$7,NOT(L213=Datenblatt!$B$7),NOT(L215=Datenblatt!$B$7)),"y",IF(AND(L214=Datenblatt!$B$7,L215=Datenblatt!$B$7,NOT(L213=Datenblatt!$B$7)),"a",IF(AND(L214=Datenblatt!$B$7,L213=Datenblatt!$B$7,NOT(L215=Datenblatt!$B$7)),"b","")))</f>
        <v/>
      </c>
      <c r="O214" s="19" t="str">
        <f t="shared" si="105"/>
        <v/>
      </c>
      <c r="P214" s="124" t="str">
        <f>IF(AND(M214=Datenblatt!$B$7,NOT(M213=Datenblatt!$B$7),NOT(M215=Datenblatt!$B$7)),"y",IF(AND(M214=Datenblatt!$B$7,M215=Datenblatt!$B$7,NOT(M213=Datenblatt!$B$7)),"a",IF(AND(M214=Datenblatt!$B$7,M213=Datenblatt!$B$7,NOT(M215=Datenblatt!$B$7)),"b","")))</f>
        <v/>
      </c>
      <c r="Q214" s="19" t="str">
        <f t="shared" si="106"/>
        <v/>
      </c>
      <c r="R214" s="124">
        <f>IF(I214="","",IF(AND(OR(J214="Krankenstand",J214="Urlaub",J214=""), AND(G214=0,NOT(I214=""))),Datenblatt!$B$7,""))</f>
        <v>6.67</v>
      </c>
      <c r="S214" s="19" t="str">
        <f>IF(OR(J214="Krankenstand",J214="Urlaub"),"",IF(J214="","",VLOOKUP(D214,Dienste!C:W,21,)))</f>
        <v/>
      </c>
      <c r="T214" s="18" t="str">
        <f>IF(OR(J214="Krankenstand",J214="Urlaub"),"",IF(J214="","",VLOOKUP(D214,Dienste!C:W,5,)))</f>
        <v/>
      </c>
      <c r="U214" s="18" t="str">
        <f>IF(OR(J214="Krankenstand",J214="Urlaub"),"",IF(J214="","",VLOOKUP(D214,Dienste!C:W,6,)))</f>
        <v/>
      </c>
      <c r="V214" s="18" t="str">
        <f>IF(OR(J214="Krankenstand",J214="Urlaub"),"",IF(J214="","",VLOOKUP(D214,Dienste!C:W,7,)))</f>
        <v/>
      </c>
      <c r="W214" s="18" t="str">
        <f>IF(OR(J214="Krankenstand",J214="Urlaub"),"",IF(J214="","",VLOOKUP(D214,Dienste!C:W,11,)))</f>
        <v/>
      </c>
      <c r="X214" s="18" t="str">
        <f>IF(OR(J214="Krankenstand",J214="Urlaub"),"",IF(J214="","",VLOOKUP(D214,Dienste!C:W,12,)))</f>
        <v/>
      </c>
      <c r="Y214" s="19" t="str">
        <f>IF(OR(J214="Krankenstand",J214="Urlaub"),"",IF(J214="","",VLOOKUP(D214,Dienste!C:W,14,)))</f>
        <v/>
      </c>
      <c r="Z214" s="20" t="str">
        <f>IF(OR(J214="Krankenstand",J214="Urlaub"),"",IF(J214="","",VLOOKUP(D214,Dienste!C:W,15,)))</f>
        <v/>
      </c>
      <c r="AA214" s="124" t="str">
        <f t="shared" si="97"/>
        <v/>
      </c>
      <c r="AB214" s="19" t="str">
        <f t="shared" si="98"/>
        <v/>
      </c>
      <c r="AC214" s="126" t="str">
        <f>_xlfn.CONCAT(_xlfn.CONCAT(IF(I214="","",_xlfn.CONCAT("FT: ",I214,IF(J214="","","; "))),IF(B214&lt;Datenblatt!$B$9,"",IF(B214="","",IF(NOT(J214=""),SUBSTITUTE(SUBSTITUTE(SUBSTITUTE(J214," mR","")," oR","")," O",""),"")))),IF(AF214="","",_xlfn.CONCAT(CHAR(10),"; ",AF214)))</f>
        <v>FT: Fronleichnam</v>
      </c>
      <c r="AD214" s="124">
        <f t="shared" si="107"/>
        <v>6.67</v>
      </c>
      <c r="AE214" s="19">
        <f t="shared" si="99"/>
        <v>0</v>
      </c>
      <c r="AF214" s="156"/>
    </row>
    <row r="215" spans="2:32" s="9" customFormat="1" ht="13">
      <c r="B215" s="6">
        <f t="shared" si="100"/>
        <v>44729</v>
      </c>
      <c r="C215" s="45">
        <f>SMALL(Daten!W:W,COUNTIF(Daten!W:W,"&lt;"&amp;Stundenaufzeichnung!B215+1))</f>
        <v>44578</v>
      </c>
      <c r="D215" s="45" t="str">
        <f t="shared" si="95"/>
        <v/>
      </c>
      <c r="E215" s="8">
        <f t="shared" si="96"/>
        <v>7</v>
      </c>
      <c r="F215" s="8">
        <f t="shared" si="101"/>
        <v>5</v>
      </c>
      <c r="G215" s="8">
        <f>IF(B215="","",VLOOKUP(E215,Datenblatt!$L$2:$N$8,3,FALSE))</f>
        <v>0</v>
      </c>
      <c r="H215" s="8" t="str">
        <f t="shared" si="102"/>
        <v/>
      </c>
      <c r="I215" s="11" t="str">
        <f>IFERROR(VLOOKUP(B215,Datenblatt!$E:$F,2,FALSE),"")</f>
        <v/>
      </c>
      <c r="J215" s="113"/>
      <c r="K215" s="19">
        <f>IF(B215&lt;Datenblatt!$B$9,"",IF(B215="","",IF(G215=0,Datenblatt!$B$7,"")))</f>
        <v>6.67</v>
      </c>
      <c r="L215" s="19" t="str">
        <f t="shared" si="103"/>
        <v/>
      </c>
      <c r="M215" s="124" t="str">
        <f t="shared" si="104"/>
        <v/>
      </c>
      <c r="N215" s="124" t="str">
        <f>IF(AND(L215=Datenblatt!$B$7,NOT(L214=Datenblatt!$B$7),NOT(L216=Datenblatt!$B$7)),"y",IF(AND(L215=Datenblatt!$B$7,L216=Datenblatt!$B$7,NOT(L214=Datenblatt!$B$7)),"a",IF(AND(L215=Datenblatt!$B$7,L214=Datenblatt!$B$7,NOT(L216=Datenblatt!$B$7)),"b","")))</f>
        <v/>
      </c>
      <c r="O215" s="19" t="str">
        <f t="shared" si="105"/>
        <v/>
      </c>
      <c r="P215" s="124" t="str">
        <f>IF(AND(M215=Datenblatt!$B$7,NOT(M214=Datenblatt!$B$7),NOT(M216=Datenblatt!$B$7)),"y",IF(AND(M215=Datenblatt!$B$7,M216=Datenblatt!$B$7,NOT(M214=Datenblatt!$B$7)),"a",IF(AND(M215=Datenblatt!$B$7,M214=Datenblatt!$B$7,NOT(M216=Datenblatt!$B$7)),"b","")))</f>
        <v/>
      </c>
      <c r="Q215" s="19" t="str">
        <f t="shared" si="106"/>
        <v/>
      </c>
      <c r="R215" s="124" t="str">
        <f>IF(I215="","",IF(AND(OR(J215="Krankenstand",J215="Urlaub",J215=""), AND(G215=0,NOT(I215=""))),Datenblatt!$B$7,""))</f>
        <v/>
      </c>
      <c r="S215" s="19" t="str">
        <f>IF(OR(J215="Krankenstand",J215="Urlaub"),"",IF(J215="","",VLOOKUP(D215,Dienste!C:W,21,)))</f>
        <v/>
      </c>
      <c r="T215" s="18" t="str">
        <f>IF(OR(J215="Krankenstand",J215="Urlaub"),"",IF(J215="","",VLOOKUP(D215,Dienste!C:W,5,)))</f>
        <v/>
      </c>
      <c r="U215" s="18" t="str">
        <f>IF(OR(J215="Krankenstand",J215="Urlaub"),"",IF(J215="","",VLOOKUP(D215,Dienste!C:W,6,)))</f>
        <v/>
      </c>
      <c r="V215" s="18" t="str">
        <f>IF(OR(J215="Krankenstand",J215="Urlaub"),"",IF(J215="","",VLOOKUP(D215,Dienste!C:W,7,)))</f>
        <v/>
      </c>
      <c r="W215" s="18" t="str">
        <f>IF(OR(J215="Krankenstand",J215="Urlaub"),"",IF(J215="","",VLOOKUP(D215,Dienste!C:W,11,)))</f>
        <v/>
      </c>
      <c r="X215" s="18" t="str">
        <f>IF(OR(J215="Krankenstand",J215="Urlaub"),"",IF(J215="","",VLOOKUP(D215,Dienste!C:W,12,)))</f>
        <v/>
      </c>
      <c r="Y215" s="19" t="str">
        <f>IF(OR(J215="Krankenstand",J215="Urlaub"),"",IF(J215="","",VLOOKUP(D215,Dienste!C:W,14,)))</f>
        <v/>
      </c>
      <c r="Z215" s="20" t="str">
        <f>IF(OR(J215="Krankenstand",J215="Urlaub"),"",IF(J215="","",VLOOKUP(D215,Dienste!C:W,15,)))</f>
        <v/>
      </c>
      <c r="AA215" s="124" t="str">
        <f t="shared" si="97"/>
        <v/>
      </c>
      <c r="AB215" s="19" t="str">
        <f t="shared" si="98"/>
        <v/>
      </c>
      <c r="AC215" s="126" t="str">
        <f>_xlfn.CONCAT(_xlfn.CONCAT(IF(I215="","",_xlfn.CONCAT("FT: ",I215,IF(J215="","","; "))),IF(B215&lt;Datenblatt!$B$9,"",IF(B215="","",IF(NOT(J215=""),SUBSTITUTE(SUBSTITUTE(SUBSTITUTE(J215," mR","")," oR","")," O",""),"")))),IF(AF215="","",_xlfn.CONCAT(CHAR(10),"; ",AF215)))</f>
        <v/>
      </c>
      <c r="AD215" s="124" t="str">
        <f t="shared" si="107"/>
        <v/>
      </c>
      <c r="AE215" s="19">
        <f t="shared" si="99"/>
        <v>0</v>
      </c>
      <c r="AF215" s="156"/>
    </row>
    <row r="216" spans="2:32" s="9" customFormat="1" ht="13">
      <c r="B216" s="6">
        <f t="shared" si="100"/>
        <v>44730</v>
      </c>
      <c r="C216" s="45">
        <f>SMALL(Daten!W:W,COUNTIF(Daten!W:W,"&lt;"&amp;Stundenaufzeichnung!B216+1))</f>
        <v>44578</v>
      </c>
      <c r="D216" s="45" t="str">
        <f t="shared" si="95"/>
        <v/>
      </c>
      <c r="E216" s="8">
        <f t="shared" si="96"/>
        <v>1</v>
      </c>
      <c r="F216" s="8">
        <f t="shared" si="101"/>
        <v>6</v>
      </c>
      <c r="G216" s="8">
        <f>IF(B216="","",VLOOKUP(E216,Datenblatt!$L$2:$N$8,3,FALSE))</f>
        <v>0</v>
      </c>
      <c r="H216" s="8" t="str">
        <f t="shared" si="102"/>
        <v/>
      </c>
      <c r="I216" s="11" t="str">
        <f>IFERROR(VLOOKUP(B216,Datenblatt!$E:$F,2,FALSE),"")</f>
        <v/>
      </c>
      <c r="J216" s="113"/>
      <c r="K216" s="19">
        <f>IF(B216&lt;Datenblatt!$B$9,"",IF(B216="","",IF(G216=0,Datenblatt!$B$7,"")))</f>
        <v>6.67</v>
      </c>
      <c r="L216" s="19" t="str">
        <f t="shared" si="103"/>
        <v/>
      </c>
      <c r="M216" s="124" t="str">
        <f t="shared" si="104"/>
        <v/>
      </c>
      <c r="N216" s="124" t="str">
        <f>IF(AND(L216=Datenblatt!$B$7,NOT(L215=Datenblatt!$B$7),NOT(L217=Datenblatt!$B$7)),"y",IF(AND(L216=Datenblatt!$B$7,L217=Datenblatt!$B$7,NOT(L215=Datenblatt!$B$7)),"a",IF(AND(L216=Datenblatt!$B$7,L215=Datenblatt!$B$7,NOT(L217=Datenblatt!$B$7)),"b","")))</f>
        <v/>
      </c>
      <c r="O216" s="19" t="str">
        <f t="shared" si="105"/>
        <v/>
      </c>
      <c r="P216" s="124" t="str">
        <f>IF(AND(M216=Datenblatt!$B$7,NOT(M215=Datenblatt!$B$7),NOT(M217=Datenblatt!$B$7)),"y",IF(AND(M216=Datenblatt!$B$7,M217=Datenblatt!$B$7,NOT(M215=Datenblatt!$B$7)),"a",IF(AND(M216=Datenblatt!$B$7,M215=Datenblatt!$B$7,NOT(M217=Datenblatt!$B$7)),"b","")))</f>
        <v/>
      </c>
      <c r="Q216" s="19" t="str">
        <f t="shared" si="106"/>
        <v/>
      </c>
      <c r="R216" s="124" t="str">
        <f>IF(I216="","",IF(AND(OR(J216="Krankenstand",J216="Urlaub",J216=""), AND(G216=0,NOT(I216=""))),Datenblatt!$B$7,""))</f>
        <v/>
      </c>
      <c r="S216" s="19" t="str">
        <f>IF(OR(J216="Krankenstand",J216="Urlaub"),"",IF(J216="","",VLOOKUP(D216,Dienste!C:W,21,)))</f>
        <v/>
      </c>
      <c r="T216" s="18" t="str">
        <f>IF(OR(J216="Krankenstand",J216="Urlaub"),"",IF(J216="","",VLOOKUP(D216,Dienste!C:W,5,)))</f>
        <v/>
      </c>
      <c r="U216" s="18" t="str">
        <f>IF(OR(J216="Krankenstand",J216="Urlaub"),"",IF(J216="","",VLOOKUP(D216,Dienste!C:W,6,)))</f>
        <v/>
      </c>
      <c r="V216" s="18" t="str">
        <f>IF(OR(J216="Krankenstand",J216="Urlaub"),"",IF(J216="","",VLOOKUP(D216,Dienste!C:W,7,)))</f>
        <v/>
      </c>
      <c r="W216" s="18" t="str">
        <f>IF(OR(J216="Krankenstand",J216="Urlaub"),"",IF(J216="","",VLOOKUP(D216,Dienste!C:W,11,)))</f>
        <v/>
      </c>
      <c r="X216" s="18" t="str">
        <f>IF(OR(J216="Krankenstand",J216="Urlaub"),"",IF(J216="","",VLOOKUP(D216,Dienste!C:W,12,)))</f>
        <v/>
      </c>
      <c r="Y216" s="19" t="str">
        <f>IF(OR(J216="Krankenstand",J216="Urlaub"),"",IF(J216="","",VLOOKUP(D216,Dienste!C:W,14,)))</f>
        <v/>
      </c>
      <c r="Z216" s="20" t="str">
        <f>IF(OR(J216="Krankenstand",J216="Urlaub"),"",IF(J216="","",VLOOKUP(D216,Dienste!C:W,15,)))</f>
        <v/>
      </c>
      <c r="AA216" s="124" t="str">
        <f t="shared" si="97"/>
        <v/>
      </c>
      <c r="AB216" s="19" t="str">
        <f t="shared" si="98"/>
        <v/>
      </c>
      <c r="AC216" s="126" t="str">
        <f>_xlfn.CONCAT(_xlfn.CONCAT(IF(I216="","",_xlfn.CONCAT("FT: ",I216,IF(J216="","","; "))),IF(B216&lt;Datenblatt!$B$9,"",IF(B216="","",IF(NOT(J216=""),SUBSTITUTE(SUBSTITUTE(SUBSTITUTE(J216," mR","")," oR","")," O",""),"")))),IF(AF216="","",_xlfn.CONCAT(CHAR(10),"; ",AF216)))</f>
        <v/>
      </c>
      <c r="AD216" s="124" t="str">
        <f t="shared" si="107"/>
        <v/>
      </c>
      <c r="AE216" s="19">
        <f t="shared" si="99"/>
        <v>0</v>
      </c>
      <c r="AF216" s="156"/>
    </row>
    <row r="217" spans="2:32" s="9" customFormat="1" ht="13">
      <c r="B217" s="6">
        <f t="shared" si="100"/>
        <v>44731</v>
      </c>
      <c r="C217" s="45">
        <f>SMALL(Daten!W:W,COUNTIF(Daten!W:W,"&lt;"&amp;Stundenaufzeichnung!B217+1))</f>
        <v>44578</v>
      </c>
      <c r="D217" s="45" t="str">
        <f t="shared" si="95"/>
        <v/>
      </c>
      <c r="E217" s="8">
        <f t="shared" si="96"/>
        <v>2</v>
      </c>
      <c r="F217" s="8">
        <f t="shared" si="101"/>
        <v>7</v>
      </c>
      <c r="G217" s="8">
        <f>IF(B217="","",VLOOKUP(E217,Datenblatt!$L$2:$N$8,3,FALSE))</f>
        <v>1</v>
      </c>
      <c r="H217" s="8" t="str">
        <f t="shared" si="102"/>
        <v>x</v>
      </c>
      <c r="I217" s="11" t="str">
        <f>IFERROR(VLOOKUP(B217,Datenblatt!$E:$F,2,FALSE),"")</f>
        <v/>
      </c>
      <c r="J217" s="113"/>
      <c r="K217" s="19" t="str">
        <f>IF(B217&lt;Datenblatt!$B$9,"",IF(B217="","",IF(G217=0,Datenblatt!$B$7,"")))</f>
        <v/>
      </c>
      <c r="L217" s="19" t="str">
        <f t="shared" si="103"/>
        <v/>
      </c>
      <c r="M217" s="124" t="str">
        <f t="shared" si="104"/>
        <v/>
      </c>
      <c r="N217" s="124" t="str">
        <f>IF(AND(L217=Datenblatt!$B$7,NOT(L216=Datenblatt!$B$7),NOT(L218=Datenblatt!$B$7)),"y",IF(AND(L217=Datenblatt!$B$7,L218=Datenblatt!$B$7,NOT(L216=Datenblatt!$B$7)),"a",IF(AND(L217=Datenblatt!$B$7,L216=Datenblatt!$B$7,NOT(L218=Datenblatt!$B$7)),"b","")))</f>
        <v/>
      </c>
      <c r="O217" s="19" t="str">
        <f t="shared" si="105"/>
        <v/>
      </c>
      <c r="P217" s="124" t="str">
        <f>IF(AND(M217=Datenblatt!$B$7,NOT(M216=Datenblatt!$B$7),NOT(M218=Datenblatt!$B$7)),"y",IF(AND(M217=Datenblatt!$B$7,M218=Datenblatt!$B$7,NOT(M216=Datenblatt!$B$7)),"a",IF(AND(M217=Datenblatt!$B$7,M216=Datenblatt!$B$7,NOT(M218=Datenblatt!$B$7)),"b","")))</f>
        <v/>
      </c>
      <c r="Q217" s="19" t="str">
        <f t="shared" si="106"/>
        <v/>
      </c>
      <c r="R217" s="124" t="str">
        <f>IF(I217="","",IF(AND(OR(J217="Krankenstand",J217="Urlaub",J217=""), AND(G217=0,NOT(I217=""))),Datenblatt!$B$7,""))</f>
        <v/>
      </c>
      <c r="S217" s="19" t="str">
        <f>IF(OR(J217="Krankenstand",J217="Urlaub"),"",IF(J217="","",VLOOKUP(D217,Dienste!C:W,21,)))</f>
        <v/>
      </c>
      <c r="T217" s="18" t="str">
        <f>IF(OR(J217="Krankenstand",J217="Urlaub"),"",IF(J217="","",VLOOKUP(D217,Dienste!C:W,5,)))</f>
        <v/>
      </c>
      <c r="U217" s="18" t="str">
        <f>IF(OR(J217="Krankenstand",J217="Urlaub"),"",IF(J217="","",VLOOKUP(D217,Dienste!C:W,6,)))</f>
        <v/>
      </c>
      <c r="V217" s="18" t="str">
        <f>IF(OR(J217="Krankenstand",J217="Urlaub"),"",IF(J217="","",VLOOKUP(D217,Dienste!C:W,7,)))</f>
        <v/>
      </c>
      <c r="W217" s="18" t="str">
        <f>IF(OR(J217="Krankenstand",J217="Urlaub"),"",IF(J217="","",VLOOKUP(D217,Dienste!C:W,11,)))</f>
        <v/>
      </c>
      <c r="X217" s="18" t="str">
        <f>IF(OR(J217="Krankenstand",J217="Urlaub"),"",IF(J217="","",VLOOKUP(D217,Dienste!C:W,12,)))</f>
        <v/>
      </c>
      <c r="Y217" s="19" t="str">
        <f>IF(OR(J217="Krankenstand",J217="Urlaub"),"",IF(J217="","",VLOOKUP(D217,Dienste!C:W,14,)))</f>
        <v/>
      </c>
      <c r="Z217" s="20" t="str">
        <f>IF(OR(J217="Krankenstand",J217="Urlaub"),"",IF(J217="","",VLOOKUP(D217,Dienste!C:W,15,)))</f>
        <v/>
      </c>
      <c r="AA217" s="124" t="str">
        <f t="shared" si="97"/>
        <v/>
      </c>
      <c r="AB217" s="19" t="str">
        <f t="shared" si="98"/>
        <v/>
      </c>
      <c r="AC217" s="126" t="str">
        <f>_xlfn.CONCAT(_xlfn.CONCAT(IF(I217="","",_xlfn.CONCAT("FT: ",I217,IF(J217="","","; "))),IF(B217&lt;Datenblatt!$B$9,"",IF(B217="","",IF(NOT(J217=""),SUBSTITUTE(SUBSTITUTE(SUBSTITUTE(J217," mR","")," oR","")," O",""),"")))),IF(AF217="","",_xlfn.CONCAT(CHAR(10),"; ",AF217)))</f>
        <v/>
      </c>
      <c r="AD217" s="124" t="str">
        <f t="shared" si="107"/>
        <v/>
      </c>
      <c r="AE217" s="19">
        <f t="shared" si="99"/>
        <v>0</v>
      </c>
      <c r="AF217" s="156"/>
    </row>
    <row r="218" spans="2:32" s="9" customFormat="1" ht="13">
      <c r="B218" s="6">
        <f t="shared" si="100"/>
        <v>44732</v>
      </c>
      <c r="C218" s="45">
        <f>SMALL(Daten!W:W,COUNTIF(Daten!W:W,"&lt;"&amp;Stundenaufzeichnung!B218+1))</f>
        <v>44578</v>
      </c>
      <c r="D218" s="45" t="str">
        <f t="shared" si="95"/>
        <v/>
      </c>
      <c r="E218" s="8">
        <f t="shared" si="96"/>
        <v>3</v>
      </c>
      <c r="F218" s="8">
        <f t="shared" si="101"/>
        <v>1</v>
      </c>
      <c r="G218" s="8">
        <f>IF(B218="","",VLOOKUP(E218,Datenblatt!$L$2:$N$8,3,FALSE))</f>
        <v>0</v>
      </c>
      <c r="H218" s="8" t="str">
        <f t="shared" si="102"/>
        <v/>
      </c>
      <c r="I218" s="11" t="str">
        <f>IFERROR(VLOOKUP(B218,Datenblatt!$E:$F,2,FALSE),"")</f>
        <v/>
      </c>
      <c r="J218" s="113"/>
      <c r="K218" s="19">
        <f>IF(B218&lt;Datenblatt!$B$9,"",IF(B218="","",IF(G218=0,Datenblatt!$B$7,"")))</f>
        <v>6.67</v>
      </c>
      <c r="L218" s="19" t="str">
        <f t="shared" si="103"/>
        <v/>
      </c>
      <c r="M218" s="124" t="str">
        <f t="shared" si="104"/>
        <v/>
      </c>
      <c r="N218" s="124" t="str">
        <f>IF(AND(L218=Datenblatt!$B$7,NOT(L217=Datenblatt!$B$7),NOT(L219=Datenblatt!$B$7)),"y",IF(AND(L218=Datenblatt!$B$7,L219=Datenblatt!$B$7,NOT(L217=Datenblatt!$B$7)),"a",IF(AND(L218=Datenblatt!$B$7,L217=Datenblatt!$B$7,NOT(L219=Datenblatt!$B$7)),"b","")))</f>
        <v/>
      </c>
      <c r="O218" s="19" t="str">
        <f t="shared" si="105"/>
        <v/>
      </c>
      <c r="P218" s="124" t="str">
        <f>IF(AND(M218=Datenblatt!$B$7,NOT(M217=Datenblatt!$B$7),NOT(M219=Datenblatt!$B$7)),"y",IF(AND(M218=Datenblatt!$B$7,M219=Datenblatt!$B$7,NOT(M217=Datenblatt!$B$7)),"a",IF(AND(M218=Datenblatt!$B$7,M217=Datenblatt!$B$7,NOT(M219=Datenblatt!$B$7)),"b","")))</f>
        <v/>
      </c>
      <c r="Q218" s="19" t="str">
        <f t="shared" si="106"/>
        <v/>
      </c>
      <c r="R218" s="124" t="str">
        <f>IF(I218="","",IF(AND(OR(J218="Krankenstand",J218="Urlaub",J218=""), AND(G218=0,NOT(I218=""))),Datenblatt!$B$7,""))</f>
        <v/>
      </c>
      <c r="S218" s="19" t="str">
        <f>IF(OR(J218="Krankenstand",J218="Urlaub"),"",IF(J218="","",VLOOKUP(D218,Dienste!C:W,21,)))</f>
        <v/>
      </c>
      <c r="T218" s="18" t="str">
        <f>IF(OR(J218="Krankenstand",J218="Urlaub"),"",IF(J218="","",VLOOKUP(D218,Dienste!C:W,5,)))</f>
        <v/>
      </c>
      <c r="U218" s="18" t="str">
        <f>IF(OR(J218="Krankenstand",J218="Urlaub"),"",IF(J218="","",VLOOKUP(D218,Dienste!C:W,6,)))</f>
        <v/>
      </c>
      <c r="V218" s="18" t="str">
        <f>IF(OR(J218="Krankenstand",J218="Urlaub"),"",IF(J218="","",VLOOKUP(D218,Dienste!C:W,7,)))</f>
        <v/>
      </c>
      <c r="W218" s="18" t="str">
        <f>IF(OR(J218="Krankenstand",J218="Urlaub"),"",IF(J218="","",VLOOKUP(D218,Dienste!C:W,11,)))</f>
        <v/>
      </c>
      <c r="X218" s="18" t="str">
        <f>IF(OR(J218="Krankenstand",J218="Urlaub"),"",IF(J218="","",VLOOKUP(D218,Dienste!C:W,12,)))</f>
        <v/>
      </c>
      <c r="Y218" s="19" t="str">
        <f>IF(OR(J218="Krankenstand",J218="Urlaub"),"",IF(J218="","",VLOOKUP(D218,Dienste!C:W,14,)))</f>
        <v/>
      </c>
      <c r="Z218" s="20" t="str">
        <f>IF(OR(J218="Krankenstand",J218="Urlaub"),"",IF(J218="","",VLOOKUP(D218,Dienste!C:W,15,)))</f>
        <v/>
      </c>
      <c r="AA218" s="124" t="str">
        <f t="shared" si="97"/>
        <v/>
      </c>
      <c r="AB218" s="19" t="str">
        <f t="shared" si="98"/>
        <v/>
      </c>
      <c r="AC218" s="126" t="str">
        <f>_xlfn.CONCAT(_xlfn.CONCAT(IF(I218="","",_xlfn.CONCAT("FT: ",I218,IF(J218="","","; "))),IF(B218&lt;Datenblatt!$B$9,"",IF(B218="","",IF(NOT(J218=""),SUBSTITUTE(SUBSTITUTE(SUBSTITUTE(J218," mR","")," oR","")," O",""),"")))),IF(AF218="","",_xlfn.CONCAT(CHAR(10),"; ",AF218)))</f>
        <v/>
      </c>
      <c r="AD218" s="124" t="str">
        <f t="shared" si="107"/>
        <v/>
      </c>
      <c r="AE218" s="19">
        <f t="shared" si="99"/>
        <v>0</v>
      </c>
      <c r="AF218" s="156"/>
    </row>
    <row r="219" spans="2:32" s="9" customFormat="1" ht="13">
      <c r="B219" s="6">
        <f t="shared" si="100"/>
        <v>44733</v>
      </c>
      <c r="C219" s="45">
        <f>SMALL(Daten!W:W,COUNTIF(Daten!W:W,"&lt;"&amp;Stundenaufzeichnung!B219+1))</f>
        <v>44578</v>
      </c>
      <c r="D219" s="45" t="str">
        <f t="shared" si="95"/>
        <v/>
      </c>
      <c r="E219" s="8">
        <f t="shared" si="96"/>
        <v>4</v>
      </c>
      <c r="F219" s="8">
        <f t="shared" si="101"/>
        <v>2</v>
      </c>
      <c r="G219" s="8">
        <f>IF(B219="","",VLOOKUP(E219,Datenblatt!$L$2:$N$8,3,FALSE))</f>
        <v>0</v>
      </c>
      <c r="H219" s="8" t="str">
        <f t="shared" si="102"/>
        <v/>
      </c>
      <c r="I219" s="11" t="str">
        <f>IFERROR(VLOOKUP(B219,Datenblatt!$E:$F,2,FALSE),"")</f>
        <v/>
      </c>
      <c r="J219" s="113"/>
      <c r="K219" s="19">
        <f>IF(B219&lt;Datenblatt!$B$9,"",IF(B219="","",IF(G219=0,Datenblatt!$B$7,"")))</f>
        <v>6.67</v>
      </c>
      <c r="L219" s="19" t="str">
        <f t="shared" si="103"/>
        <v/>
      </c>
      <c r="M219" s="124" t="str">
        <f t="shared" si="104"/>
        <v/>
      </c>
      <c r="N219" s="124" t="str">
        <f>IF(AND(L219=Datenblatt!$B$7,NOT(L218=Datenblatt!$B$7),NOT(L220=Datenblatt!$B$7)),"y",IF(AND(L219=Datenblatt!$B$7,L220=Datenblatt!$B$7,NOT(L218=Datenblatt!$B$7)),"a",IF(AND(L219=Datenblatt!$B$7,L218=Datenblatt!$B$7,NOT(L220=Datenblatt!$B$7)),"b","")))</f>
        <v/>
      </c>
      <c r="O219" s="19" t="str">
        <f t="shared" si="105"/>
        <v/>
      </c>
      <c r="P219" s="124" t="str">
        <f>IF(AND(M219=Datenblatt!$B$7,NOT(M218=Datenblatt!$B$7),NOT(M220=Datenblatt!$B$7)),"y",IF(AND(M219=Datenblatt!$B$7,M220=Datenblatt!$B$7,NOT(M218=Datenblatt!$B$7)),"a",IF(AND(M219=Datenblatt!$B$7,M218=Datenblatt!$B$7,NOT(M220=Datenblatt!$B$7)),"b","")))</f>
        <v/>
      </c>
      <c r="Q219" s="19" t="str">
        <f t="shared" si="106"/>
        <v/>
      </c>
      <c r="R219" s="124" t="str">
        <f>IF(I219="","",IF(AND(OR(J219="Krankenstand",J219="Urlaub",J219=""), AND(G219=0,NOT(I219=""))),Datenblatt!$B$7,""))</f>
        <v/>
      </c>
      <c r="S219" s="19" t="str">
        <f>IF(OR(J219="Krankenstand",J219="Urlaub"),"",IF(J219="","",VLOOKUP(D219,Dienste!C:W,21,)))</f>
        <v/>
      </c>
      <c r="T219" s="18" t="str">
        <f>IF(OR(J219="Krankenstand",J219="Urlaub"),"",IF(J219="","",VLOOKUP(D219,Dienste!C:W,5,)))</f>
        <v/>
      </c>
      <c r="U219" s="18" t="str">
        <f>IF(OR(J219="Krankenstand",J219="Urlaub"),"",IF(J219="","",VLOOKUP(D219,Dienste!C:W,6,)))</f>
        <v/>
      </c>
      <c r="V219" s="18" t="str">
        <f>IF(OR(J219="Krankenstand",J219="Urlaub"),"",IF(J219="","",VLOOKUP(D219,Dienste!C:W,7,)))</f>
        <v/>
      </c>
      <c r="W219" s="18" t="str">
        <f>IF(OR(J219="Krankenstand",J219="Urlaub"),"",IF(J219="","",VLOOKUP(D219,Dienste!C:W,11,)))</f>
        <v/>
      </c>
      <c r="X219" s="18" t="str">
        <f>IF(OR(J219="Krankenstand",J219="Urlaub"),"",IF(J219="","",VLOOKUP(D219,Dienste!C:W,12,)))</f>
        <v/>
      </c>
      <c r="Y219" s="19" t="str">
        <f>IF(OR(J219="Krankenstand",J219="Urlaub"),"",IF(J219="","",VLOOKUP(D219,Dienste!C:W,14,)))</f>
        <v/>
      </c>
      <c r="Z219" s="20" t="str">
        <f>IF(OR(J219="Krankenstand",J219="Urlaub"),"",IF(J219="","",VLOOKUP(D219,Dienste!C:W,15,)))</f>
        <v/>
      </c>
      <c r="AA219" s="124" t="str">
        <f t="shared" si="97"/>
        <v/>
      </c>
      <c r="AB219" s="19" t="str">
        <f t="shared" si="98"/>
        <v/>
      </c>
      <c r="AC219" s="126" t="str">
        <f>_xlfn.CONCAT(_xlfn.CONCAT(IF(I219="","",_xlfn.CONCAT("FT: ",I219,IF(J219="","","; "))),IF(B219&lt;Datenblatt!$B$9,"",IF(B219="","",IF(NOT(J219=""),SUBSTITUTE(SUBSTITUTE(SUBSTITUTE(J219," mR","")," oR","")," O",""),"")))),IF(AF219="","",_xlfn.CONCAT(CHAR(10),"; ",AF219)))</f>
        <v/>
      </c>
      <c r="AD219" s="124" t="str">
        <f t="shared" si="107"/>
        <v/>
      </c>
      <c r="AE219" s="19">
        <f t="shared" si="99"/>
        <v>0</v>
      </c>
      <c r="AF219" s="156"/>
    </row>
    <row r="220" spans="2:32" s="9" customFormat="1" ht="13">
      <c r="B220" s="6">
        <f t="shared" si="100"/>
        <v>44734</v>
      </c>
      <c r="C220" s="45">
        <f>SMALL(Daten!W:W,COUNTIF(Daten!W:W,"&lt;"&amp;Stundenaufzeichnung!B220+1))</f>
        <v>44578</v>
      </c>
      <c r="D220" s="45" t="str">
        <f t="shared" si="95"/>
        <v/>
      </c>
      <c r="E220" s="8">
        <f t="shared" si="96"/>
        <v>5</v>
      </c>
      <c r="F220" s="8">
        <f t="shared" si="101"/>
        <v>3</v>
      </c>
      <c r="G220" s="8">
        <f>IF(B220="","",VLOOKUP(E220,Datenblatt!$L$2:$N$8,3,FALSE))</f>
        <v>0</v>
      </c>
      <c r="H220" s="8" t="str">
        <f t="shared" si="102"/>
        <v/>
      </c>
      <c r="I220" s="11" t="str">
        <f>IFERROR(VLOOKUP(B220,Datenblatt!$E:$F,2,FALSE),"")</f>
        <v/>
      </c>
      <c r="J220" s="113"/>
      <c r="K220" s="19">
        <f>IF(B220&lt;Datenblatt!$B$9,"",IF(B220="","",IF(G220=0,Datenblatt!$B$7,"")))</f>
        <v>6.67</v>
      </c>
      <c r="L220" s="19" t="str">
        <f t="shared" si="103"/>
        <v/>
      </c>
      <c r="M220" s="124" t="str">
        <f t="shared" si="104"/>
        <v/>
      </c>
      <c r="N220" s="124" t="str">
        <f>IF(AND(L220=Datenblatt!$B$7,NOT(L219=Datenblatt!$B$7),NOT(L221=Datenblatt!$B$7)),"y",IF(AND(L220=Datenblatt!$B$7,L221=Datenblatt!$B$7,NOT(L219=Datenblatt!$B$7)),"a",IF(AND(L220=Datenblatt!$B$7,L219=Datenblatt!$B$7,NOT(L221=Datenblatt!$B$7)),"b","")))</f>
        <v/>
      </c>
      <c r="O220" s="19" t="str">
        <f t="shared" si="105"/>
        <v/>
      </c>
      <c r="P220" s="124" t="str">
        <f>IF(AND(M220=Datenblatt!$B$7,NOT(M219=Datenblatt!$B$7),NOT(M221=Datenblatt!$B$7)),"y",IF(AND(M220=Datenblatt!$B$7,M221=Datenblatt!$B$7,NOT(M219=Datenblatt!$B$7)),"a",IF(AND(M220=Datenblatt!$B$7,M219=Datenblatt!$B$7,NOT(M221=Datenblatt!$B$7)),"b","")))</f>
        <v/>
      </c>
      <c r="Q220" s="19" t="str">
        <f t="shared" si="106"/>
        <v/>
      </c>
      <c r="R220" s="124" t="str">
        <f>IF(I220="","",IF(AND(OR(J220="Krankenstand",J220="Urlaub",J220=""), AND(G220=0,NOT(I220=""))),Datenblatt!$B$7,""))</f>
        <v/>
      </c>
      <c r="S220" s="19" t="str">
        <f>IF(OR(J220="Krankenstand",J220="Urlaub"),"",IF(J220="","",VLOOKUP(D220,Dienste!C:W,21,)))</f>
        <v/>
      </c>
      <c r="T220" s="18" t="str">
        <f>IF(OR(J220="Krankenstand",J220="Urlaub"),"",IF(J220="","",VLOOKUP(D220,Dienste!C:W,5,)))</f>
        <v/>
      </c>
      <c r="U220" s="18" t="str">
        <f>IF(OR(J220="Krankenstand",J220="Urlaub"),"",IF(J220="","",VLOOKUP(D220,Dienste!C:W,6,)))</f>
        <v/>
      </c>
      <c r="V220" s="18" t="str">
        <f>IF(OR(J220="Krankenstand",J220="Urlaub"),"",IF(J220="","",VLOOKUP(D220,Dienste!C:W,7,)))</f>
        <v/>
      </c>
      <c r="W220" s="18" t="str">
        <f>IF(OR(J220="Krankenstand",J220="Urlaub"),"",IF(J220="","",VLOOKUP(D220,Dienste!C:W,11,)))</f>
        <v/>
      </c>
      <c r="X220" s="18" t="str">
        <f>IF(OR(J220="Krankenstand",J220="Urlaub"),"",IF(J220="","",VLOOKUP(D220,Dienste!C:W,12,)))</f>
        <v/>
      </c>
      <c r="Y220" s="19" t="str">
        <f>IF(OR(J220="Krankenstand",J220="Urlaub"),"",IF(J220="","",VLOOKUP(D220,Dienste!C:W,14,)))</f>
        <v/>
      </c>
      <c r="Z220" s="20" t="str">
        <f>IF(OR(J220="Krankenstand",J220="Urlaub"),"",IF(J220="","",VLOOKUP(D220,Dienste!C:W,15,)))</f>
        <v/>
      </c>
      <c r="AA220" s="124" t="str">
        <f t="shared" si="97"/>
        <v/>
      </c>
      <c r="AB220" s="19" t="str">
        <f t="shared" si="98"/>
        <v/>
      </c>
      <c r="AC220" s="126" t="str">
        <f>_xlfn.CONCAT(_xlfn.CONCAT(IF(I220="","",_xlfn.CONCAT("FT: ",I220,IF(J220="","","; "))),IF(B220&lt;Datenblatt!$B$9,"",IF(B220="","",IF(NOT(J220=""),SUBSTITUTE(SUBSTITUTE(SUBSTITUTE(J220," mR","")," oR","")," O",""),"")))),IF(AF220="","",_xlfn.CONCAT(CHAR(10),"; ",AF220)))</f>
        <v/>
      </c>
      <c r="AD220" s="124" t="str">
        <f t="shared" si="107"/>
        <v/>
      </c>
      <c r="AE220" s="19">
        <f t="shared" si="99"/>
        <v>0</v>
      </c>
      <c r="AF220" s="156"/>
    </row>
    <row r="221" spans="2:32" s="9" customFormat="1" ht="13">
      <c r="B221" s="6">
        <f t="shared" si="100"/>
        <v>44735</v>
      </c>
      <c r="C221" s="45">
        <f>SMALL(Daten!W:W,COUNTIF(Daten!W:W,"&lt;"&amp;Stundenaufzeichnung!B221+1))</f>
        <v>44578</v>
      </c>
      <c r="D221" s="45" t="str">
        <f t="shared" si="95"/>
        <v/>
      </c>
      <c r="E221" s="8">
        <f t="shared" si="96"/>
        <v>6</v>
      </c>
      <c r="F221" s="8">
        <f t="shared" si="101"/>
        <v>4</v>
      </c>
      <c r="G221" s="8">
        <f>IF(B221="","",VLOOKUP(E221,Datenblatt!$L$2:$N$8,3,FALSE))</f>
        <v>0</v>
      </c>
      <c r="H221" s="8" t="str">
        <f t="shared" si="102"/>
        <v/>
      </c>
      <c r="I221" s="11" t="str">
        <f>IFERROR(VLOOKUP(B221,Datenblatt!$E:$F,2,FALSE),"")</f>
        <v/>
      </c>
      <c r="J221" s="113"/>
      <c r="K221" s="19">
        <f>IF(B221&lt;Datenblatt!$B$9,"",IF(B221="","",IF(G221=0,Datenblatt!$B$7,"")))</f>
        <v>6.67</v>
      </c>
      <c r="L221" s="19" t="str">
        <f t="shared" si="103"/>
        <v/>
      </c>
      <c r="M221" s="124" t="str">
        <f t="shared" si="104"/>
        <v/>
      </c>
      <c r="N221" s="124" t="str">
        <f>IF(AND(L221=Datenblatt!$B$7,NOT(L220=Datenblatt!$B$7),NOT(L222=Datenblatt!$B$7)),"y",IF(AND(L221=Datenblatt!$B$7,L222=Datenblatt!$B$7,NOT(L220=Datenblatt!$B$7)),"a",IF(AND(L221=Datenblatt!$B$7,L220=Datenblatt!$B$7,NOT(L222=Datenblatt!$B$7)),"b","")))</f>
        <v/>
      </c>
      <c r="O221" s="19" t="str">
        <f t="shared" si="105"/>
        <v/>
      </c>
      <c r="P221" s="124" t="str">
        <f>IF(AND(M221=Datenblatt!$B$7,NOT(M220=Datenblatt!$B$7),NOT(M222=Datenblatt!$B$7)),"y",IF(AND(M221=Datenblatt!$B$7,M222=Datenblatt!$B$7,NOT(M220=Datenblatt!$B$7)),"a",IF(AND(M221=Datenblatt!$B$7,M220=Datenblatt!$B$7,NOT(M222=Datenblatt!$B$7)),"b","")))</f>
        <v/>
      </c>
      <c r="Q221" s="19" t="str">
        <f t="shared" si="106"/>
        <v/>
      </c>
      <c r="R221" s="124" t="str">
        <f>IF(I221="","",IF(AND(OR(J221="Krankenstand",J221="Urlaub",J221=""), AND(G221=0,NOT(I221=""))),Datenblatt!$B$7,""))</f>
        <v/>
      </c>
      <c r="S221" s="19" t="str">
        <f>IF(OR(J221="Krankenstand",J221="Urlaub"),"",IF(J221="","",VLOOKUP(D221,Dienste!C:W,21,)))</f>
        <v/>
      </c>
      <c r="T221" s="18" t="str">
        <f>IF(OR(J221="Krankenstand",J221="Urlaub"),"",IF(J221="","",VLOOKUP(D221,Dienste!C:W,5,)))</f>
        <v/>
      </c>
      <c r="U221" s="18" t="str">
        <f>IF(OR(J221="Krankenstand",J221="Urlaub"),"",IF(J221="","",VLOOKUP(D221,Dienste!C:W,6,)))</f>
        <v/>
      </c>
      <c r="V221" s="18" t="str">
        <f>IF(OR(J221="Krankenstand",J221="Urlaub"),"",IF(J221="","",VLOOKUP(D221,Dienste!C:W,7,)))</f>
        <v/>
      </c>
      <c r="W221" s="18" t="str">
        <f>IF(OR(J221="Krankenstand",J221="Urlaub"),"",IF(J221="","",VLOOKUP(D221,Dienste!C:W,11,)))</f>
        <v/>
      </c>
      <c r="X221" s="18" t="str">
        <f>IF(OR(J221="Krankenstand",J221="Urlaub"),"",IF(J221="","",VLOOKUP(D221,Dienste!C:W,12,)))</f>
        <v/>
      </c>
      <c r="Y221" s="19" t="str">
        <f>IF(OR(J221="Krankenstand",J221="Urlaub"),"",IF(J221="","",VLOOKUP(D221,Dienste!C:W,14,)))</f>
        <v/>
      </c>
      <c r="Z221" s="20" t="str">
        <f>IF(OR(J221="Krankenstand",J221="Urlaub"),"",IF(J221="","",VLOOKUP(D221,Dienste!C:W,15,)))</f>
        <v/>
      </c>
      <c r="AA221" s="124" t="str">
        <f t="shared" si="97"/>
        <v/>
      </c>
      <c r="AB221" s="19" t="str">
        <f t="shared" si="98"/>
        <v/>
      </c>
      <c r="AC221" s="126" t="str">
        <f>_xlfn.CONCAT(_xlfn.CONCAT(IF(I221="","",_xlfn.CONCAT("FT: ",I221,IF(J221="","","; "))),IF(B221&lt;Datenblatt!$B$9,"",IF(B221="","",IF(NOT(J221=""),SUBSTITUTE(SUBSTITUTE(SUBSTITUTE(J221," mR","")," oR","")," O",""),"")))),IF(AF221="","",_xlfn.CONCAT(CHAR(10),"; ",AF221)))</f>
        <v/>
      </c>
      <c r="AD221" s="124" t="str">
        <f t="shared" si="107"/>
        <v/>
      </c>
      <c r="AE221" s="19">
        <f t="shared" si="99"/>
        <v>0</v>
      </c>
      <c r="AF221" s="156"/>
    </row>
    <row r="222" spans="2:32" s="9" customFormat="1" ht="13">
      <c r="B222" s="6">
        <f t="shared" si="100"/>
        <v>44736</v>
      </c>
      <c r="C222" s="45">
        <f>SMALL(Daten!W:W,COUNTIF(Daten!W:W,"&lt;"&amp;Stundenaufzeichnung!B222+1))</f>
        <v>44578</v>
      </c>
      <c r="D222" s="45" t="str">
        <f t="shared" si="95"/>
        <v/>
      </c>
      <c r="E222" s="8">
        <f t="shared" si="96"/>
        <v>7</v>
      </c>
      <c r="F222" s="8">
        <f t="shared" si="101"/>
        <v>5</v>
      </c>
      <c r="G222" s="8">
        <f>IF(B222="","",VLOOKUP(E222,Datenblatt!$L$2:$N$8,3,FALSE))</f>
        <v>0</v>
      </c>
      <c r="H222" s="8" t="str">
        <f t="shared" si="102"/>
        <v/>
      </c>
      <c r="I222" s="11" t="str">
        <f>IFERROR(VLOOKUP(B222,Datenblatt!$E:$F,2,FALSE),"")</f>
        <v/>
      </c>
      <c r="J222" s="113"/>
      <c r="K222" s="19">
        <f>IF(B222&lt;Datenblatt!$B$9,"",IF(B222="","",IF(G222=0,Datenblatt!$B$7,"")))</f>
        <v>6.67</v>
      </c>
      <c r="L222" s="19" t="str">
        <f t="shared" si="103"/>
        <v/>
      </c>
      <c r="M222" s="124" t="str">
        <f t="shared" si="104"/>
        <v/>
      </c>
      <c r="N222" s="124" t="str">
        <f>IF(AND(L222=Datenblatt!$B$7,NOT(L221=Datenblatt!$B$7),NOT(L223=Datenblatt!$B$7)),"y",IF(AND(L222=Datenblatt!$B$7,L223=Datenblatt!$B$7,NOT(L221=Datenblatt!$B$7)),"a",IF(AND(L222=Datenblatt!$B$7,L221=Datenblatt!$B$7,NOT(L223=Datenblatt!$B$7)),"b","")))</f>
        <v/>
      </c>
      <c r="O222" s="19" t="str">
        <f t="shared" si="105"/>
        <v/>
      </c>
      <c r="P222" s="124" t="str">
        <f>IF(AND(M222=Datenblatt!$B$7,NOT(M221=Datenblatt!$B$7),NOT(M223=Datenblatt!$B$7)),"y",IF(AND(M222=Datenblatt!$B$7,M223=Datenblatt!$B$7,NOT(M221=Datenblatt!$B$7)),"a",IF(AND(M222=Datenblatt!$B$7,M221=Datenblatt!$B$7,NOT(M223=Datenblatt!$B$7)),"b","")))</f>
        <v/>
      </c>
      <c r="Q222" s="19" t="str">
        <f t="shared" si="106"/>
        <v/>
      </c>
      <c r="R222" s="124" t="str">
        <f>IF(I222="","",IF(AND(OR(J222="Krankenstand",J222="Urlaub",J222=""), AND(G222=0,NOT(I222=""))),Datenblatt!$B$7,""))</f>
        <v/>
      </c>
      <c r="S222" s="19" t="str">
        <f>IF(OR(J222="Krankenstand",J222="Urlaub"),"",IF(J222="","",VLOOKUP(D222,Dienste!C:W,21,)))</f>
        <v/>
      </c>
      <c r="T222" s="18" t="str">
        <f>IF(OR(J222="Krankenstand",J222="Urlaub"),"",IF(J222="","",VLOOKUP(D222,Dienste!C:W,5,)))</f>
        <v/>
      </c>
      <c r="U222" s="18" t="str">
        <f>IF(OR(J222="Krankenstand",J222="Urlaub"),"",IF(J222="","",VLOOKUP(D222,Dienste!C:W,6,)))</f>
        <v/>
      </c>
      <c r="V222" s="18" t="str">
        <f>IF(OR(J222="Krankenstand",J222="Urlaub"),"",IF(J222="","",VLOOKUP(D222,Dienste!C:W,7,)))</f>
        <v/>
      </c>
      <c r="W222" s="18" t="str">
        <f>IF(OR(J222="Krankenstand",J222="Urlaub"),"",IF(J222="","",VLOOKUP(D222,Dienste!C:W,11,)))</f>
        <v/>
      </c>
      <c r="X222" s="18" t="str">
        <f>IF(OR(J222="Krankenstand",J222="Urlaub"),"",IF(J222="","",VLOOKUP(D222,Dienste!C:W,12,)))</f>
        <v/>
      </c>
      <c r="Y222" s="19" t="str">
        <f>IF(OR(J222="Krankenstand",J222="Urlaub"),"",IF(J222="","",VLOOKUP(D222,Dienste!C:W,14,)))</f>
        <v/>
      </c>
      <c r="Z222" s="20" t="str">
        <f>IF(OR(J222="Krankenstand",J222="Urlaub"),"",IF(J222="","",VLOOKUP(D222,Dienste!C:W,15,)))</f>
        <v/>
      </c>
      <c r="AA222" s="124" t="str">
        <f t="shared" si="97"/>
        <v/>
      </c>
      <c r="AB222" s="19" t="str">
        <f t="shared" si="98"/>
        <v/>
      </c>
      <c r="AC222" s="126" t="str">
        <f>_xlfn.CONCAT(_xlfn.CONCAT(IF(I222="","",_xlfn.CONCAT("FT: ",I222,IF(J222="","","; "))),IF(B222&lt;Datenblatt!$B$9,"",IF(B222="","",IF(NOT(J222=""),SUBSTITUTE(SUBSTITUTE(SUBSTITUTE(J222," mR","")," oR","")," O",""),"")))),IF(AF222="","",_xlfn.CONCAT(CHAR(10),"; ",AF222)))</f>
        <v/>
      </c>
      <c r="AD222" s="124" t="str">
        <f t="shared" si="107"/>
        <v/>
      </c>
      <c r="AE222" s="19">
        <f t="shared" si="99"/>
        <v>0</v>
      </c>
      <c r="AF222" s="156"/>
    </row>
    <row r="223" spans="2:32" s="9" customFormat="1" ht="13">
      <c r="B223" s="6">
        <f t="shared" si="100"/>
        <v>44737</v>
      </c>
      <c r="C223" s="45">
        <f>SMALL(Daten!W:W,COUNTIF(Daten!W:W,"&lt;"&amp;Stundenaufzeichnung!B223+1))</f>
        <v>44578</v>
      </c>
      <c r="D223" s="45" t="str">
        <f t="shared" si="95"/>
        <v/>
      </c>
      <c r="E223" s="8">
        <f t="shared" si="96"/>
        <v>1</v>
      </c>
      <c r="F223" s="8">
        <f t="shared" si="101"/>
        <v>6</v>
      </c>
      <c r="G223" s="8">
        <f>IF(B223="","",VLOOKUP(E223,Datenblatt!$L$2:$N$8,3,FALSE))</f>
        <v>0</v>
      </c>
      <c r="H223" s="8" t="str">
        <f t="shared" si="102"/>
        <v/>
      </c>
      <c r="I223" s="11" t="str">
        <f>IFERROR(VLOOKUP(B223,Datenblatt!$E:$F,2,FALSE),"")</f>
        <v/>
      </c>
      <c r="J223" s="113"/>
      <c r="K223" s="19">
        <f>IF(B223&lt;Datenblatt!$B$9,"",IF(B223="","",IF(G223=0,Datenblatt!$B$7,"")))</f>
        <v>6.67</v>
      </c>
      <c r="L223" s="19" t="str">
        <f t="shared" si="103"/>
        <v/>
      </c>
      <c r="M223" s="124" t="str">
        <f t="shared" si="104"/>
        <v/>
      </c>
      <c r="N223" s="124" t="str">
        <f>IF(AND(L223=Datenblatt!$B$7,NOT(L222=Datenblatt!$B$7),NOT(L224=Datenblatt!$B$7)),"y",IF(AND(L223=Datenblatt!$B$7,L224=Datenblatt!$B$7,NOT(L222=Datenblatt!$B$7)),"a",IF(AND(L223=Datenblatt!$B$7,L222=Datenblatt!$B$7,NOT(L224=Datenblatt!$B$7)),"b","")))</f>
        <v/>
      </c>
      <c r="O223" s="19" t="str">
        <f t="shared" si="105"/>
        <v/>
      </c>
      <c r="P223" s="124" t="str">
        <f>IF(AND(M223=Datenblatt!$B$7,NOT(M222=Datenblatt!$B$7),NOT(M224=Datenblatt!$B$7)),"y",IF(AND(M223=Datenblatt!$B$7,M224=Datenblatt!$B$7,NOT(M222=Datenblatt!$B$7)),"a",IF(AND(M223=Datenblatt!$B$7,M222=Datenblatt!$B$7,NOT(M224=Datenblatt!$B$7)),"b","")))</f>
        <v/>
      </c>
      <c r="Q223" s="19" t="str">
        <f t="shared" si="106"/>
        <v/>
      </c>
      <c r="R223" s="124" t="str">
        <f>IF(I223="","",IF(AND(OR(J223="Krankenstand",J223="Urlaub",J223=""), AND(G223=0,NOT(I223=""))),Datenblatt!$B$7,""))</f>
        <v/>
      </c>
      <c r="S223" s="19" t="str">
        <f>IF(OR(J223="Krankenstand",J223="Urlaub"),"",IF(J223="","",VLOOKUP(D223,Dienste!C:W,21,)))</f>
        <v/>
      </c>
      <c r="T223" s="18" t="str">
        <f>IF(OR(J223="Krankenstand",J223="Urlaub"),"",IF(J223="","",VLOOKUP(D223,Dienste!C:W,5,)))</f>
        <v/>
      </c>
      <c r="U223" s="18" t="str">
        <f>IF(OR(J223="Krankenstand",J223="Urlaub"),"",IF(J223="","",VLOOKUP(D223,Dienste!C:W,6,)))</f>
        <v/>
      </c>
      <c r="V223" s="18" t="str">
        <f>IF(OR(J223="Krankenstand",J223="Urlaub"),"",IF(J223="","",VLOOKUP(D223,Dienste!C:W,7,)))</f>
        <v/>
      </c>
      <c r="W223" s="18" t="str">
        <f>IF(OR(J223="Krankenstand",J223="Urlaub"),"",IF(J223="","",VLOOKUP(D223,Dienste!C:W,11,)))</f>
        <v/>
      </c>
      <c r="X223" s="18" t="str">
        <f>IF(OR(J223="Krankenstand",J223="Urlaub"),"",IF(J223="","",VLOOKUP(D223,Dienste!C:W,12,)))</f>
        <v/>
      </c>
      <c r="Y223" s="19" t="str">
        <f>IF(OR(J223="Krankenstand",J223="Urlaub"),"",IF(J223="","",VLOOKUP(D223,Dienste!C:W,14,)))</f>
        <v/>
      </c>
      <c r="Z223" s="20" t="str">
        <f>IF(OR(J223="Krankenstand",J223="Urlaub"),"",IF(J223="","",VLOOKUP(D223,Dienste!C:W,15,)))</f>
        <v/>
      </c>
      <c r="AA223" s="124" t="str">
        <f t="shared" si="97"/>
        <v/>
      </c>
      <c r="AB223" s="19" t="str">
        <f t="shared" si="98"/>
        <v/>
      </c>
      <c r="AC223" s="126" t="str">
        <f>_xlfn.CONCAT(_xlfn.CONCAT(IF(I223="","",_xlfn.CONCAT("FT: ",I223,IF(J223="","","; "))),IF(B223&lt;Datenblatt!$B$9,"",IF(B223="","",IF(NOT(J223=""),SUBSTITUTE(SUBSTITUTE(SUBSTITUTE(J223," mR","")," oR","")," O",""),"")))),IF(AF223="","",_xlfn.CONCAT(CHAR(10),"; ",AF223)))</f>
        <v/>
      </c>
      <c r="AD223" s="124" t="str">
        <f t="shared" si="107"/>
        <v/>
      </c>
      <c r="AE223" s="19">
        <f t="shared" si="99"/>
        <v>0</v>
      </c>
      <c r="AF223" s="156"/>
    </row>
    <row r="224" spans="2:32" s="9" customFormat="1" ht="13">
      <c r="B224" s="6">
        <f t="shared" si="100"/>
        <v>44738</v>
      </c>
      <c r="C224" s="45">
        <f>SMALL(Daten!W:W,COUNTIF(Daten!W:W,"&lt;"&amp;Stundenaufzeichnung!B224+1))</f>
        <v>44578</v>
      </c>
      <c r="D224" s="45" t="str">
        <f t="shared" si="95"/>
        <v/>
      </c>
      <c r="E224" s="8">
        <f t="shared" si="96"/>
        <v>2</v>
      </c>
      <c r="F224" s="8">
        <f t="shared" si="101"/>
        <v>7</v>
      </c>
      <c r="G224" s="8">
        <f>IF(B224="","",VLOOKUP(E224,Datenblatt!$L$2:$N$8,3,FALSE))</f>
        <v>1</v>
      </c>
      <c r="H224" s="8" t="str">
        <f t="shared" si="102"/>
        <v>x</v>
      </c>
      <c r="I224" s="11" t="str">
        <f>IFERROR(VLOOKUP(B224,Datenblatt!$E:$F,2,FALSE),"")</f>
        <v/>
      </c>
      <c r="J224" s="113"/>
      <c r="K224" s="19" t="str">
        <f>IF(B224&lt;Datenblatt!$B$9,"",IF(B224="","",IF(G224=0,Datenblatt!$B$7,"")))</f>
        <v/>
      </c>
      <c r="L224" s="19" t="str">
        <f t="shared" si="103"/>
        <v/>
      </c>
      <c r="M224" s="124" t="str">
        <f t="shared" si="104"/>
        <v/>
      </c>
      <c r="N224" s="124" t="str">
        <f>IF(AND(L224=Datenblatt!$B$7,NOT(L223=Datenblatt!$B$7),NOT(L225=Datenblatt!$B$7)),"y",IF(AND(L224=Datenblatt!$B$7,L225=Datenblatt!$B$7,NOT(L223=Datenblatt!$B$7)),"a",IF(AND(L224=Datenblatt!$B$7,L223=Datenblatt!$B$7,NOT(L225=Datenblatt!$B$7)),"b","")))</f>
        <v/>
      </c>
      <c r="O224" s="19" t="str">
        <f t="shared" si="105"/>
        <v/>
      </c>
      <c r="P224" s="124" t="str">
        <f>IF(AND(M224=Datenblatt!$B$7,NOT(M223=Datenblatt!$B$7),NOT(M225=Datenblatt!$B$7)),"y",IF(AND(M224=Datenblatt!$B$7,M225=Datenblatt!$B$7,NOT(M223=Datenblatt!$B$7)),"a",IF(AND(M224=Datenblatt!$B$7,M223=Datenblatt!$B$7,NOT(M225=Datenblatt!$B$7)),"b","")))</f>
        <v/>
      </c>
      <c r="Q224" s="19" t="str">
        <f t="shared" si="106"/>
        <v/>
      </c>
      <c r="R224" s="124" t="str">
        <f>IF(I224="","",IF(AND(OR(J224="Krankenstand",J224="Urlaub",J224=""), AND(G224=0,NOT(I224=""))),Datenblatt!$B$7,""))</f>
        <v/>
      </c>
      <c r="S224" s="19" t="str">
        <f>IF(OR(J224="Krankenstand",J224="Urlaub"),"",IF(J224="","",VLOOKUP(D224,Dienste!C:W,21,)))</f>
        <v/>
      </c>
      <c r="T224" s="18" t="str">
        <f>IF(OR(J224="Krankenstand",J224="Urlaub"),"",IF(J224="","",VLOOKUP(D224,Dienste!C:W,5,)))</f>
        <v/>
      </c>
      <c r="U224" s="18" t="str">
        <f>IF(OR(J224="Krankenstand",J224="Urlaub"),"",IF(J224="","",VLOOKUP(D224,Dienste!C:W,6,)))</f>
        <v/>
      </c>
      <c r="V224" s="18" t="str">
        <f>IF(OR(J224="Krankenstand",J224="Urlaub"),"",IF(J224="","",VLOOKUP(D224,Dienste!C:W,7,)))</f>
        <v/>
      </c>
      <c r="W224" s="18" t="str">
        <f>IF(OR(J224="Krankenstand",J224="Urlaub"),"",IF(J224="","",VLOOKUP(D224,Dienste!C:W,11,)))</f>
        <v/>
      </c>
      <c r="X224" s="18" t="str">
        <f>IF(OR(J224="Krankenstand",J224="Urlaub"),"",IF(J224="","",VLOOKUP(D224,Dienste!C:W,12,)))</f>
        <v/>
      </c>
      <c r="Y224" s="19" t="str">
        <f>IF(OR(J224="Krankenstand",J224="Urlaub"),"",IF(J224="","",VLOOKUP(D224,Dienste!C:W,14,)))</f>
        <v/>
      </c>
      <c r="Z224" s="20" t="str">
        <f>IF(OR(J224="Krankenstand",J224="Urlaub"),"",IF(J224="","",VLOOKUP(D224,Dienste!C:W,15,)))</f>
        <v/>
      </c>
      <c r="AA224" s="124" t="str">
        <f t="shared" si="97"/>
        <v/>
      </c>
      <c r="AB224" s="19" t="str">
        <f t="shared" si="98"/>
        <v/>
      </c>
      <c r="AC224" s="126" t="str">
        <f>_xlfn.CONCAT(_xlfn.CONCAT(IF(I224="","",_xlfn.CONCAT("FT: ",I224,IF(J224="","","; "))),IF(B224&lt;Datenblatt!$B$9,"",IF(B224="","",IF(NOT(J224=""),SUBSTITUTE(SUBSTITUTE(SUBSTITUTE(J224," mR","")," oR","")," O",""),"")))),IF(AF224="","",_xlfn.CONCAT(CHAR(10),"; ",AF224)))</f>
        <v/>
      </c>
      <c r="AD224" s="124" t="str">
        <f t="shared" si="107"/>
        <v/>
      </c>
      <c r="AE224" s="19">
        <f t="shared" si="99"/>
        <v>0</v>
      </c>
      <c r="AF224" s="156"/>
    </row>
    <row r="225" spans="1:32" s="9" customFormat="1" ht="13">
      <c r="B225" s="6">
        <f t="shared" si="100"/>
        <v>44739</v>
      </c>
      <c r="C225" s="45">
        <f>SMALL(Daten!W:W,COUNTIF(Daten!W:W,"&lt;"&amp;Stundenaufzeichnung!B225+1))</f>
        <v>44578</v>
      </c>
      <c r="D225" s="45" t="str">
        <f t="shared" si="95"/>
        <v/>
      </c>
      <c r="E225" s="8">
        <f t="shared" si="96"/>
        <v>3</v>
      </c>
      <c r="F225" s="8">
        <f t="shared" si="101"/>
        <v>1</v>
      </c>
      <c r="G225" s="8">
        <f>IF(B225="","",VLOOKUP(E225,Datenblatt!$L$2:$N$8,3,FALSE))</f>
        <v>0</v>
      </c>
      <c r="H225" s="8" t="str">
        <f t="shared" si="102"/>
        <v/>
      </c>
      <c r="I225" s="11" t="str">
        <f>IFERROR(VLOOKUP(B225,Datenblatt!$E:$F,2,FALSE),"")</f>
        <v/>
      </c>
      <c r="J225" s="113"/>
      <c r="K225" s="19">
        <f>IF(B225&lt;Datenblatt!$B$9,"",IF(B225="","",IF(G225=0,Datenblatt!$B$7,"")))</f>
        <v>6.67</v>
      </c>
      <c r="L225" s="19" t="str">
        <f t="shared" si="103"/>
        <v/>
      </c>
      <c r="M225" s="124" t="str">
        <f t="shared" si="104"/>
        <v/>
      </c>
      <c r="N225" s="124" t="str">
        <f>IF(AND(L225=Datenblatt!$B$7,NOT(L224=Datenblatt!$B$7),NOT(L226=Datenblatt!$B$7)),"y",IF(AND(L225=Datenblatt!$B$7,L226=Datenblatt!$B$7,NOT(L224=Datenblatt!$B$7)),"a",IF(AND(L225=Datenblatt!$B$7,L224=Datenblatt!$B$7,NOT(L226=Datenblatt!$B$7)),"b","")))</f>
        <v/>
      </c>
      <c r="O225" s="19" t="str">
        <f t="shared" si="105"/>
        <v/>
      </c>
      <c r="P225" s="124" t="str">
        <f>IF(AND(M225=Datenblatt!$B$7,NOT(M224=Datenblatt!$B$7),NOT(M226=Datenblatt!$B$7)),"y",IF(AND(M225=Datenblatt!$B$7,M226=Datenblatt!$B$7,NOT(M224=Datenblatt!$B$7)),"a",IF(AND(M225=Datenblatt!$B$7,M224=Datenblatt!$B$7,NOT(M226=Datenblatt!$B$7)),"b","")))</f>
        <v/>
      </c>
      <c r="Q225" s="19" t="str">
        <f t="shared" si="106"/>
        <v/>
      </c>
      <c r="R225" s="124" t="str">
        <f>IF(I225="","",IF(AND(OR(J225="Krankenstand",J225="Urlaub",J225=""), AND(G225=0,NOT(I225=""))),Datenblatt!$B$7,""))</f>
        <v/>
      </c>
      <c r="S225" s="19" t="str">
        <f>IF(OR(J225="Krankenstand",J225="Urlaub"),"",IF(J225="","",VLOOKUP(D225,Dienste!C:W,21,)))</f>
        <v/>
      </c>
      <c r="T225" s="18" t="str">
        <f>IF(OR(J225="Krankenstand",J225="Urlaub"),"",IF(J225="","",VLOOKUP(D225,Dienste!C:W,5,)))</f>
        <v/>
      </c>
      <c r="U225" s="18" t="str">
        <f>IF(OR(J225="Krankenstand",J225="Urlaub"),"",IF(J225="","",VLOOKUP(D225,Dienste!C:W,6,)))</f>
        <v/>
      </c>
      <c r="V225" s="18" t="str">
        <f>IF(OR(J225="Krankenstand",J225="Urlaub"),"",IF(J225="","",VLOOKUP(D225,Dienste!C:W,7,)))</f>
        <v/>
      </c>
      <c r="W225" s="18" t="str">
        <f>IF(OR(J225="Krankenstand",J225="Urlaub"),"",IF(J225="","",VLOOKUP(D225,Dienste!C:W,11,)))</f>
        <v/>
      </c>
      <c r="X225" s="18" t="str">
        <f>IF(OR(J225="Krankenstand",J225="Urlaub"),"",IF(J225="","",VLOOKUP(D225,Dienste!C:W,12,)))</f>
        <v/>
      </c>
      <c r="Y225" s="19" t="str">
        <f>IF(OR(J225="Krankenstand",J225="Urlaub"),"",IF(J225="","",VLOOKUP(D225,Dienste!C:W,14,)))</f>
        <v/>
      </c>
      <c r="Z225" s="20" t="str">
        <f>IF(OR(J225="Krankenstand",J225="Urlaub"),"",IF(J225="","",VLOOKUP(D225,Dienste!C:W,15,)))</f>
        <v/>
      </c>
      <c r="AA225" s="124" t="str">
        <f t="shared" si="97"/>
        <v/>
      </c>
      <c r="AB225" s="19" t="str">
        <f t="shared" si="98"/>
        <v/>
      </c>
      <c r="AC225" s="126" t="str">
        <f>_xlfn.CONCAT(_xlfn.CONCAT(IF(I225="","",_xlfn.CONCAT("FT: ",I225,IF(J225="","","; "))),IF(B225&lt;Datenblatt!$B$9,"",IF(B225="","",IF(NOT(J225=""),SUBSTITUTE(SUBSTITUTE(SUBSTITUTE(J225," mR","")," oR","")," O",""),"")))),IF(AF225="","",_xlfn.CONCAT(CHAR(10),"; ",AF225)))</f>
        <v/>
      </c>
      <c r="AD225" s="124" t="str">
        <f t="shared" si="107"/>
        <v/>
      </c>
      <c r="AE225" s="19">
        <f t="shared" si="99"/>
        <v>0</v>
      </c>
      <c r="AF225" s="156"/>
    </row>
    <row r="226" spans="1:32" s="9" customFormat="1" ht="13">
      <c r="B226" s="6">
        <f t="shared" si="100"/>
        <v>44740</v>
      </c>
      <c r="C226" s="45">
        <f>SMALL(Daten!W:W,COUNTIF(Daten!W:W,"&lt;"&amp;Stundenaufzeichnung!B226+1))</f>
        <v>44578</v>
      </c>
      <c r="D226" s="45" t="str">
        <f t="shared" si="95"/>
        <v/>
      </c>
      <c r="E226" s="8">
        <f t="shared" si="96"/>
        <v>4</v>
      </c>
      <c r="F226" s="8">
        <f t="shared" si="101"/>
        <v>2</v>
      </c>
      <c r="G226" s="8">
        <f>IF(B226="","",VLOOKUP(E226,Datenblatt!$L$2:$N$8,3,FALSE))</f>
        <v>0</v>
      </c>
      <c r="H226" s="8" t="str">
        <f t="shared" si="102"/>
        <v/>
      </c>
      <c r="I226" s="11" t="str">
        <f>IFERROR(VLOOKUP(B226,Datenblatt!$E:$F,2,FALSE),"")</f>
        <v/>
      </c>
      <c r="J226" s="113"/>
      <c r="K226" s="19">
        <f>IF(B226&lt;Datenblatt!$B$9,"",IF(B226="","",IF(G226=0,Datenblatt!$B$7,"")))</f>
        <v>6.67</v>
      </c>
      <c r="L226" s="19" t="str">
        <f t="shared" si="103"/>
        <v/>
      </c>
      <c r="M226" s="124" t="str">
        <f t="shared" si="104"/>
        <v/>
      </c>
      <c r="N226" s="124" t="str">
        <f>IF(AND(L226=Datenblatt!$B$7,NOT(L225=Datenblatt!$B$7),NOT(L227=Datenblatt!$B$7)),"y",IF(AND(L226=Datenblatt!$B$7,L227=Datenblatt!$B$7,NOT(L225=Datenblatt!$B$7)),"a",IF(AND(L226=Datenblatt!$B$7,L225=Datenblatt!$B$7,NOT(L227=Datenblatt!$B$7)),"b","")))</f>
        <v/>
      </c>
      <c r="O226" s="19" t="str">
        <f t="shared" si="105"/>
        <v/>
      </c>
      <c r="P226" s="124" t="str">
        <f>IF(AND(M226=Datenblatt!$B$7,NOT(M225=Datenblatt!$B$7),NOT(M227=Datenblatt!$B$7)),"y",IF(AND(M226=Datenblatt!$B$7,M227=Datenblatt!$B$7,NOT(M225=Datenblatt!$B$7)),"a",IF(AND(M226=Datenblatt!$B$7,M225=Datenblatt!$B$7,NOT(M227=Datenblatt!$B$7)),"b","")))</f>
        <v/>
      </c>
      <c r="Q226" s="19" t="str">
        <f t="shared" si="106"/>
        <v/>
      </c>
      <c r="R226" s="124" t="str">
        <f>IF(I226="","",IF(AND(OR(J226="Krankenstand",J226="Urlaub",J226=""), AND(G226=0,NOT(I226=""))),Datenblatt!$B$7,""))</f>
        <v/>
      </c>
      <c r="S226" s="19" t="str">
        <f>IF(OR(J226="Krankenstand",J226="Urlaub"),"",IF(J226="","",VLOOKUP(D226,Dienste!C:W,21,)))</f>
        <v/>
      </c>
      <c r="T226" s="18" t="str">
        <f>IF(OR(J226="Krankenstand",J226="Urlaub"),"",IF(J226="","",VLOOKUP(D226,Dienste!C:W,5,)))</f>
        <v/>
      </c>
      <c r="U226" s="18" t="str">
        <f>IF(OR(J226="Krankenstand",J226="Urlaub"),"",IF(J226="","",VLOOKUP(D226,Dienste!C:W,6,)))</f>
        <v/>
      </c>
      <c r="V226" s="18" t="str">
        <f>IF(OR(J226="Krankenstand",J226="Urlaub"),"",IF(J226="","",VLOOKUP(D226,Dienste!C:W,7,)))</f>
        <v/>
      </c>
      <c r="W226" s="18" t="str">
        <f>IF(OR(J226="Krankenstand",J226="Urlaub"),"",IF(J226="","",VLOOKUP(D226,Dienste!C:W,11,)))</f>
        <v/>
      </c>
      <c r="X226" s="18" t="str">
        <f>IF(OR(J226="Krankenstand",J226="Urlaub"),"",IF(J226="","",VLOOKUP(D226,Dienste!C:W,12,)))</f>
        <v/>
      </c>
      <c r="Y226" s="19" t="str">
        <f>IF(OR(J226="Krankenstand",J226="Urlaub"),"",IF(J226="","",VLOOKUP(D226,Dienste!C:W,14,)))</f>
        <v/>
      </c>
      <c r="Z226" s="20" t="str">
        <f>IF(OR(J226="Krankenstand",J226="Urlaub"),"",IF(J226="","",VLOOKUP(D226,Dienste!C:W,15,)))</f>
        <v/>
      </c>
      <c r="AA226" s="124" t="str">
        <f t="shared" si="97"/>
        <v/>
      </c>
      <c r="AB226" s="19" t="str">
        <f t="shared" si="98"/>
        <v/>
      </c>
      <c r="AC226" s="126" t="str">
        <f>_xlfn.CONCAT(_xlfn.CONCAT(IF(I226="","",_xlfn.CONCAT("FT: ",I226,IF(J226="","","; "))),IF(B226&lt;Datenblatt!$B$9,"",IF(B226="","",IF(NOT(J226=""),SUBSTITUTE(SUBSTITUTE(SUBSTITUTE(J226," mR","")," oR","")," O",""),"")))),IF(AF226="","",_xlfn.CONCAT(CHAR(10),"; ",AF226)))</f>
        <v/>
      </c>
      <c r="AD226" s="124" t="str">
        <f t="shared" si="107"/>
        <v/>
      </c>
      <c r="AE226" s="19">
        <f t="shared" si="99"/>
        <v>0</v>
      </c>
      <c r="AF226" s="156"/>
    </row>
    <row r="227" spans="1:32" s="9" customFormat="1" ht="13">
      <c r="B227" s="6">
        <f>IF(B226="","",IF(DAY(B226+1)&lt;29,"",B226+1))</f>
        <v>44741</v>
      </c>
      <c r="C227" s="45">
        <f>SMALL(Daten!W:W,COUNTIF(Daten!W:W,"&lt;"&amp;Stundenaufzeichnung!B227+1))</f>
        <v>44578</v>
      </c>
      <c r="D227" s="45" t="str">
        <f t="shared" si="95"/>
        <v/>
      </c>
      <c r="E227" s="8">
        <f t="shared" si="96"/>
        <v>5</v>
      </c>
      <c r="F227" s="8">
        <f>IF(B227="","",MOD(E227+$F$3,7)+1)</f>
        <v>3</v>
      </c>
      <c r="G227" s="8">
        <f>IF(B227="","",VLOOKUP(E227,Datenblatt!$L$2:$N$8,3,FALSE))</f>
        <v>0</v>
      </c>
      <c r="H227" s="8" t="str">
        <f t="shared" si="102"/>
        <v/>
      </c>
      <c r="I227" s="11" t="str">
        <f>IFERROR(VLOOKUP(B227,Datenblatt!$E:$F,2,FALSE),"")</f>
        <v/>
      </c>
      <c r="J227" s="113"/>
      <c r="K227" s="19">
        <f>IF(B227&lt;Datenblatt!$B$9,"",IF(B227="","",IF(G227=0,Datenblatt!$B$7,"")))</f>
        <v>6.67</v>
      </c>
      <c r="L227" s="19" t="str">
        <f t="shared" si="103"/>
        <v/>
      </c>
      <c r="M227" s="124" t="str">
        <f t="shared" si="104"/>
        <v/>
      </c>
      <c r="N227" s="124" t="str">
        <f>IF(AND(L227=Datenblatt!$B$7,NOT(L226=Datenblatt!$B$7),NOT(L228=Datenblatt!$B$7)),"y",IF(AND(L227=Datenblatt!$B$7,L228=Datenblatt!$B$7,NOT(L226=Datenblatt!$B$7)),"a",IF(AND(L227=Datenblatt!$B$7,L226=Datenblatt!$B$7,NOT(L228=Datenblatt!$B$7)),"b","")))</f>
        <v/>
      </c>
      <c r="O227" s="19" t="str">
        <f t="shared" si="105"/>
        <v/>
      </c>
      <c r="P227" s="124" t="str">
        <f>IF(AND(M227=Datenblatt!$B$7,NOT(M226=Datenblatt!$B$7),NOT(M228=Datenblatt!$B$7)),"y",IF(AND(M227=Datenblatt!$B$7,M228=Datenblatt!$B$7,NOT(M226=Datenblatt!$B$7)),"a",IF(AND(M227=Datenblatt!$B$7,M226=Datenblatt!$B$7,NOT(M228=Datenblatt!$B$7)),"b","")))</f>
        <v/>
      </c>
      <c r="Q227" s="19" t="str">
        <f t="shared" si="106"/>
        <v/>
      </c>
      <c r="R227" s="124" t="str">
        <f>IF(I227="","",IF(AND(OR(J227="Krankenstand",J227="Urlaub",J227=""), AND(G227=0,NOT(I227=""))),Datenblatt!$B$7,""))</f>
        <v/>
      </c>
      <c r="S227" s="19" t="str">
        <f>IF(OR(J227="Krankenstand",J227="Urlaub"),"",IF(J227="","",VLOOKUP(D227,Dienste!C:W,21,)))</f>
        <v/>
      </c>
      <c r="T227" s="18" t="str">
        <f>IF(OR(J227="Krankenstand",J227="Urlaub"),"",IF(J227="","",VLOOKUP(D227,Dienste!C:W,5,)))</f>
        <v/>
      </c>
      <c r="U227" s="18" t="str">
        <f>IF(OR(J227="Krankenstand",J227="Urlaub"),"",IF(J227="","",VLOOKUP(D227,Dienste!C:W,6,)))</f>
        <v/>
      </c>
      <c r="V227" s="18" t="str">
        <f>IF(OR(J227="Krankenstand",J227="Urlaub"),"",IF(J227="","",VLOOKUP(D227,Dienste!C:W,7,)))</f>
        <v/>
      </c>
      <c r="W227" s="18" t="str">
        <f>IF(OR(J227="Krankenstand",J227="Urlaub"),"",IF(J227="","",VLOOKUP(D227,Dienste!C:W,11,)))</f>
        <v/>
      </c>
      <c r="X227" s="18" t="str">
        <f>IF(OR(J227="Krankenstand",J227="Urlaub"),"",IF(J227="","",VLOOKUP(D227,Dienste!C:W,12,)))</f>
        <v/>
      </c>
      <c r="Y227" s="19" t="str">
        <f>IF(OR(J227="Krankenstand",J227="Urlaub"),"",IF(J227="","",VLOOKUP(D227,Dienste!C:W,14,)))</f>
        <v/>
      </c>
      <c r="Z227" s="20" t="str">
        <f>IF(OR(J227="Krankenstand",J227="Urlaub"),"",IF(J227="","",VLOOKUP(D227,Dienste!C:W,15,)))</f>
        <v/>
      </c>
      <c r="AA227" s="124" t="str">
        <f t="shared" si="97"/>
        <v/>
      </c>
      <c r="AB227" s="19" t="str">
        <f t="shared" si="98"/>
        <v/>
      </c>
      <c r="AC227" s="126" t="str">
        <f>_xlfn.CONCAT(_xlfn.CONCAT(IF(I227="","",_xlfn.CONCAT("FT: ",I227,IF(J227="","","; "))),IF(B227&lt;Datenblatt!$B$9,"",IF(B227="","",IF(NOT(J227=""),SUBSTITUTE(SUBSTITUTE(SUBSTITUTE(J227," mR","")," oR","")," O",""),"")))),IF(AF227="","",_xlfn.CONCAT(CHAR(10),"; ",AF227)))</f>
        <v/>
      </c>
      <c r="AD227" s="124" t="str">
        <f t="shared" si="107"/>
        <v/>
      </c>
      <c r="AE227" s="19">
        <f t="shared" si="99"/>
        <v>0</v>
      </c>
      <c r="AF227" s="156"/>
    </row>
    <row r="228" spans="1:32" s="9" customFormat="1" ht="13">
      <c r="B228" s="6">
        <f>IF(B227="","",IF(DAY(B227+1)&lt;30,"",B227+1))</f>
        <v>44742</v>
      </c>
      <c r="C228" s="45">
        <f>SMALL(Daten!W:W,COUNTIF(Daten!W:W,"&lt;"&amp;Stundenaufzeichnung!B228+1))</f>
        <v>44578</v>
      </c>
      <c r="D228" s="45" t="str">
        <f t="shared" si="95"/>
        <v/>
      </c>
      <c r="E228" s="8">
        <f t="shared" si="96"/>
        <v>6</v>
      </c>
      <c r="F228" s="8">
        <f>IF(B228="","",MOD(E228+$F$3,7)+1)</f>
        <v>4</v>
      </c>
      <c r="G228" s="8">
        <f>IF(B228="","",VLOOKUP(E228,Datenblatt!$L$2:$N$8,3,FALSE))</f>
        <v>0</v>
      </c>
      <c r="H228" s="8" t="str">
        <f t="shared" si="102"/>
        <v/>
      </c>
      <c r="I228" s="11" t="str">
        <f>IFERROR(VLOOKUP(B228,Datenblatt!$E:$F,2,FALSE),"")</f>
        <v/>
      </c>
      <c r="J228" s="113"/>
      <c r="K228" s="19">
        <f>IF(B228&lt;Datenblatt!$B$9,"",IF(B228="","",IF(G228=0,Datenblatt!$B$7,"")))</f>
        <v>6.67</v>
      </c>
      <c r="L228" s="19" t="str">
        <f t="shared" si="103"/>
        <v/>
      </c>
      <c r="M228" s="124" t="str">
        <f t="shared" si="104"/>
        <v/>
      </c>
      <c r="N228" s="124" t="str">
        <f>IF(AND(L228=Datenblatt!$B$7,NOT(L227=Datenblatt!$B$7),NOT(L229=Datenblatt!$B$7)),"y",IF(AND(L228=Datenblatt!$B$7,L229=Datenblatt!$B$7,NOT(L227=Datenblatt!$B$7)),"a",IF(AND(L228=Datenblatt!$B$7,L227=Datenblatt!$B$7,NOT(L229=Datenblatt!$B$7)),"b","")))</f>
        <v/>
      </c>
      <c r="O228" s="19" t="str">
        <f t="shared" si="105"/>
        <v/>
      </c>
      <c r="P228" s="124" t="str">
        <f>IF(AND(M228=Datenblatt!$B$7,NOT(M227=Datenblatt!$B$7),NOT(M229=Datenblatt!$B$7)),"y",IF(AND(M228=Datenblatt!$B$7,M229=Datenblatt!$B$7,NOT(M227=Datenblatt!$B$7)),"a",IF(AND(M228=Datenblatt!$B$7,M227=Datenblatt!$B$7,NOT(M229=Datenblatt!$B$7)),"b","")))</f>
        <v/>
      </c>
      <c r="Q228" s="19" t="str">
        <f t="shared" si="106"/>
        <v/>
      </c>
      <c r="R228" s="124" t="str">
        <f>IF(I228="","",IF(AND(OR(J228="Krankenstand",J228="Urlaub",J228=""), AND(G228=0,NOT(I228=""))),Datenblatt!$B$7,""))</f>
        <v/>
      </c>
      <c r="S228" s="19" t="str">
        <f>IF(OR(J228="Krankenstand",J228="Urlaub"),"",IF(J228="","",VLOOKUP(D228,Dienste!C:W,21,)))</f>
        <v/>
      </c>
      <c r="T228" s="18" t="str">
        <f>IF(OR(J228="Krankenstand",J228="Urlaub"),"",IF(J228="","",VLOOKUP(D228,Dienste!C:W,5,)))</f>
        <v/>
      </c>
      <c r="U228" s="18" t="str">
        <f>IF(OR(J228="Krankenstand",J228="Urlaub"),"",IF(J228="","",VLOOKUP(D228,Dienste!C:W,6,)))</f>
        <v/>
      </c>
      <c r="V228" s="18" t="str">
        <f>IF(OR(J228="Krankenstand",J228="Urlaub"),"",IF(J228="","",VLOOKUP(D228,Dienste!C:W,7,)))</f>
        <v/>
      </c>
      <c r="W228" s="18" t="str">
        <f>IF(OR(J228="Krankenstand",J228="Urlaub"),"",IF(J228="","",VLOOKUP(D228,Dienste!C:W,11,)))</f>
        <v/>
      </c>
      <c r="X228" s="18" t="str">
        <f>IF(OR(J228="Krankenstand",J228="Urlaub"),"",IF(J228="","",VLOOKUP(D228,Dienste!C:W,12,)))</f>
        <v/>
      </c>
      <c r="Y228" s="19" t="str">
        <f>IF(OR(J228="Krankenstand",J228="Urlaub"),"",IF(J228="","",VLOOKUP(D228,Dienste!C:W,14,)))</f>
        <v/>
      </c>
      <c r="Z228" s="20" t="str">
        <f>IF(OR(J228="Krankenstand",J228="Urlaub"),"",IF(J228="","",VLOOKUP(D228,Dienste!C:W,15,)))</f>
        <v/>
      </c>
      <c r="AA228" s="124" t="str">
        <f>IF(OR(Y228="",NOT(AB228="")),"",IF(AND(Y228&lt;AE229,AE229&gt;0),Y228,IF(AE229&gt;0,AE229,"")))</f>
        <v/>
      </c>
      <c r="AB228" s="19" t="str">
        <f t="shared" si="98"/>
        <v/>
      </c>
      <c r="AC228" s="126" t="str">
        <f>_xlfn.CONCAT(_xlfn.CONCAT(IF(I228="","",_xlfn.CONCAT("FT: ",I228,IF(J228="","","; "))),IF(B228&lt;Datenblatt!$B$9,"",IF(B228="","",IF(NOT(J228=""),SUBSTITUTE(SUBSTITUTE(SUBSTITUTE(J228," mR","")," oR","")," O",""),"")))),IF(AF228="","",_xlfn.CONCAT(CHAR(10),"; ",AF228)))</f>
        <v/>
      </c>
      <c r="AD228" s="124" t="str">
        <f t="shared" si="107"/>
        <v/>
      </c>
      <c r="AE228" s="19">
        <f t="shared" si="99"/>
        <v>0</v>
      </c>
      <c r="AF228" s="156"/>
    </row>
    <row r="229" spans="1:32" s="9" customFormat="1" ht="13">
      <c r="B229" s="28" t="str">
        <f>IF(B228="","",IF(DAY(B228+1)&lt;31,"",B228+1))</f>
        <v/>
      </c>
      <c r="C229" s="47" t="e">
        <f>SMALL(Daten!W:W,COUNTIF(Daten!W:W,"&lt;"&amp;Stundenaufzeichnung!B229+1))</f>
        <v>#NUM!</v>
      </c>
      <c r="D229" s="47" t="str">
        <f t="shared" si="95"/>
        <v/>
      </c>
      <c r="E229" s="29" t="str">
        <f t="shared" si="96"/>
        <v/>
      </c>
      <c r="F229" s="29" t="str">
        <f>IF(B229="","",MOD(E229+$F$3,7)+1)</f>
        <v/>
      </c>
      <c r="G229" s="29" t="str">
        <f>IF(B229="","",VLOOKUP(E229,Datenblatt!$L$2:$N$8,3,FALSE))</f>
        <v/>
      </c>
      <c r="H229" s="29" t="str">
        <f t="shared" si="102"/>
        <v/>
      </c>
      <c r="I229" s="123" t="str">
        <f>IFERROR(VLOOKUP(B229,Datenblatt!$E:$F,2,FALSE),"")</f>
        <v/>
      </c>
      <c r="J229" s="114"/>
      <c r="K229" s="30" t="str">
        <f>IF(B229&lt;Datenblatt!$B$9,"",IF(B229="","",IF(G229=0,Datenblatt!$B$7,"")))</f>
        <v/>
      </c>
      <c r="L229" s="30" t="str">
        <f t="shared" si="103"/>
        <v/>
      </c>
      <c r="M229" s="30" t="str">
        <f t="shared" si="104"/>
        <v/>
      </c>
      <c r="N229" s="30" t="str">
        <f>IF(AND(L229=Datenblatt!$B$7,NOT(L228=Datenblatt!$B$7),NOT(L230=Datenblatt!$B$7)),"y",IF(AND(L229=Datenblatt!$B$7,L230=Datenblatt!$B$7,NOT(L228=Datenblatt!$B$7)),"a",IF(AND(L229=Datenblatt!$B$7,L228=Datenblatt!$B$7,NOT(L230=Datenblatt!$B$7)),"b","")))</f>
        <v/>
      </c>
      <c r="O229" s="30" t="str">
        <f t="shared" si="105"/>
        <v/>
      </c>
      <c r="P229" s="30" t="str">
        <f>IF(AND(M229=Datenblatt!$B$7,NOT(M228=Datenblatt!$B$7),NOT(M230=Datenblatt!$B$7)),"y",IF(AND(M229=Datenblatt!$B$7,M230=Datenblatt!$B$7,NOT(M228=Datenblatt!$B$7)),"a",IF(AND(M229=Datenblatt!$B$7,M228=Datenblatt!$B$7,NOT(M230=Datenblatt!$B$7)),"b","")))</f>
        <v/>
      </c>
      <c r="Q229" s="30" t="str">
        <f t="shared" si="106"/>
        <v/>
      </c>
      <c r="R229" s="30" t="str">
        <f>IF(I229="","",IF(AND(OR(J229="Krankenstand",J229="Urlaub",J229=""), AND(G229=0,NOT(I229=""))),Datenblatt!$B$7,""))</f>
        <v/>
      </c>
      <c r="S229" s="30" t="str">
        <f>IF(OR(J229="Krankenstand",J229="Urlaub"),"",IF(J229="","",VLOOKUP(D229,Dienste!C:W,21,)))</f>
        <v/>
      </c>
      <c r="T229" s="31" t="str">
        <f>IF(OR(J229="Krankenstand",J229="Urlaub"),"",IF(J229="","",VLOOKUP(D229,Dienste!C:W,5,)))</f>
        <v/>
      </c>
      <c r="U229" s="31" t="str">
        <f>IF(OR(J229="Krankenstand",J229="Urlaub"),"",IF(J229="","",VLOOKUP(D229,Dienste!C:W,6,)))</f>
        <v/>
      </c>
      <c r="V229" s="31" t="str">
        <f>IF(OR(J229="Krankenstand",J229="Urlaub"),"",IF(J229="","",VLOOKUP(D229,Dienste!C:W,7,)))</f>
        <v/>
      </c>
      <c r="W229" s="31" t="str">
        <f>IF(OR(J229="Krankenstand",J229="Urlaub"),"",IF(J229="","",VLOOKUP(D229,Dienste!C:W,11,)))</f>
        <v/>
      </c>
      <c r="X229" s="31" t="str">
        <f>IF(OR(J229="Krankenstand",J229="Urlaub"),"",IF(J229="","",VLOOKUP(D229,Dienste!C:W,12,)))</f>
        <v/>
      </c>
      <c r="Y229" s="30" t="str">
        <f>IF(OR(J229="Krankenstand",J229="Urlaub"),"",IF(J229="","",VLOOKUP(D229,Dienste!C:W,14,)))</f>
        <v/>
      </c>
      <c r="Z229" s="32" t="str">
        <f>IF(OR(J229="Krankenstand",J229="Urlaub"),"",IF(J229="","",VLOOKUP(D229,Dienste!C:W,15,)))</f>
        <v/>
      </c>
      <c r="AA229" s="30" t="str">
        <f>IF(OR(Y229="",NOT(AB229="")),"",IF(AND(Y229&lt;AE230,AE230&gt;0),Y229,IF(AE230&gt;0,AE230,"")))</f>
        <v/>
      </c>
      <c r="AB229" s="30" t="str">
        <f t="shared" si="98"/>
        <v/>
      </c>
      <c r="AC229" s="125" t="str">
        <f>_xlfn.CONCAT(_xlfn.CONCAT(IF(I229="","",_xlfn.CONCAT("FT: ",I229,IF(J229="","","; "))),IF(B229&lt;Datenblatt!$B$9,"",IF(B229="","",IF(NOT(J229=""),SUBSTITUTE(SUBSTITUTE(SUBSTITUTE(J229," mR","")," oR","")," O",""),"")))),IF(AF229="","",_xlfn.CONCAT(CHAR(10),"; ",AF229)))</f>
        <v/>
      </c>
      <c r="AD229" s="30" t="str">
        <f t="shared" si="107"/>
        <v/>
      </c>
      <c r="AE229" s="30">
        <f>IF(OR(Y229="",NOT(AB229="")),AE230,AE230-Y229)</f>
        <v>0</v>
      </c>
      <c r="AF229" s="157"/>
    </row>
    <row r="230" spans="1:32" s="8" customFormat="1" ht="13">
      <c r="AA230" s="19">
        <f>IF(AD231-AB231-K231&lt;0,0,AD231-AB231-K231)</f>
        <v>0</v>
      </c>
      <c r="AC230" s="17" t="s">
        <v>193</v>
      </c>
      <c r="AE230" s="19">
        <f>AA230</f>
        <v>0</v>
      </c>
      <c r="AF230" s="17"/>
    </row>
    <row r="231" spans="1:32" s="8" customFormat="1" ht="13">
      <c r="B231" s="25" t="str">
        <f>"Summen "&amp;TEXT(B199,"MMMM")</f>
        <v>Summen Juni</v>
      </c>
      <c r="C231" s="25"/>
      <c r="D231" s="25"/>
      <c r="E231" s="17"/>
      <c r="F231" s="17"/>
      <c r="G231" s="17"/>
      <c r="H231" s="17"/>
      <c r="I231" s="17"/>
      <c r="J231" s="17"/>
      <c r="K231" s="19">
        <f>SUM(K199:K229)</f>
        <v>173.41999999999993</v>
      </c>
      <c r="L231" s="19">
        <f t="shared" ref="L231:M231" si="108">SUM(L199:L229)</f>
        <v>0</v>
      </c>
      <c r="M231" s="19">
        <f t="shared" si="108"/>
        <v>0</v>
      </c>
      <c r="N231" s="19"/>
      <c r="O231" s="19" t="str">
        <f>IF(_xlfn.CONCAT(O199:O229)="","",REPLACE(_xlfn.CONCAT(O199:O229),LEN(_xlfn.CONCAT(O199:O229))-1,1,""))</f>
        <v/>
      </c>
      <c r="P231" s="19"/>
      <c r="Q231" s="19" t="str">
        <f t="shared" ref="Q231" si="109">IF(_xlfn.CONCAT(Q199:Q229)="","",REPLACE(_xlfn.CONCAT(Q199:Q229),LEN(_xlfn.CONCAT(Q199:Q229))-1,1,""))</f>
        <v/>
      </c>
      <c r="R231" s="19">
        <f t="shared" ref="R231:S231" si="110">SUM(R199:R229)</f>
        <v>13.34</v>
      </c>
      <c r="S231" s="19">
        <f t="shared" si="110"/>
        <v>0</v>
      </c>
      <c r="T231" s="19"/>
      <c r="U231" s="19"/>
      <c r="V231" s="19"/>
      <c r="W231" s="19"/>
      <c r="X231" s="17"/>
      <c r="Y231" s="19">
        <f>SUM(Y199:Y229)</f>
        <v>0</v>
      </c>
      <c r="Z231" s="20">
        <f>SUM(Z199:Z229)</f>
        <v>0</v>
      </c>
      <c r="AA231" s="26">
        <f>IF(AA230&gt;10,10,AA230)</f>
        <v>0</v>
      </c>
      <c r="AB231" s="19">
        <f t="shared" ref="AB231" si="111">SUM(AB199:AB229)</f>
        <v>0</v>
      </c>
      <c r="AC231" s="20">
        <f>R232</f>
        <v>2</v>
      </c>
      <c r="AD231" s="19">
        <f>SUM(AD199:AD229)</f>
        <v>13.34</v>
      </c>
      <c r="AE231" s="19"/>
      <c r="AF231" s="20"/>
    </row>
    <row r="232" spans="1:32" s="8" customFormat="1" ht="13">
      <c r="B232" s="25" t="str">
        <f>"Anzahl "&amp;TEXT(B199,"MMMM")</f>
        <v>Anzahl Juni</v>
      </c>
      <c r="C232" s="25"/>
      <c r="D232" s="25"/>
      <c r="E232" s="17"/>
      <c r="F232" s="17"/>
      <c r="G232" s="17"/>
      <c r="H232" s="17"/>
      <c r="I232" s="17"/>
      <c r="J232" s="17"/>
      <c r="K232" s="17">
        <f>COUNT(K199:K229)</f>
        <v>26</v>
      </c>
      <c r="L232" s="17">
        <f t="shared" ref="L232:M232" si="112">COUNT(L199:L229)</f>
        <v>0</v>
      </c>
      <c r="M232" s="17">
        <f t="shared" si="112"/>
        <v>0</v>
      </c>
      <c r="N232" s="17"/>
      <c r="O232" s="17"/>
      <c r="P232" s="17"/>
      <c r="Q232" s="17"/>
      <c r="R232" s="17">
        <f t="shared" ref="R232:S232" si="113">COUNT(R199:R229)</f>
        <v>2</v>
      </c>
      <c r="S232" s="17">
        <f t="shared" si="113"/>
        <v>0</v>
      </c>
      <c r="T232" s="17"/>
      <c r="U232" s="17"/>
      <c r="V232" s="17"/>
      <c r="W232" s="17"/>
      <c r="X232" s="17"/>
      <c r="Y232" s="17"/>
      <c r="Z232" s="17"/>
      <c r="AA232" s="27">
        <f>IF(AA230&gt;10,AA230-10,0)</f>
        <v>0</v>
      </c>
      <c r="AB232" s="17"/>
      <c r="AC232" s="17"/>
      <c r="AD232" s="17"/>
      <c r="AE232" s="17"/>
      <c r="AF232" s="17"/>
    </row>
    <row r="233" spans="1:32" s="8" customFormat="1" ht="13.5" thickBot="1">
      <c r="A233" s="10"/>
      <c r="B233" s="10"/>
      <c r="C233" s="10"/>
      <c r="D233" s="10"/>
      <c r="E233" s="10"/>
      <c r="F233" s="10"/>
      <c r="G233" s="10"/>
      <c r="H233" s="10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0"/>
      <c r="AB233" s="10"/>
      <c r="AC233" s="10"/>
      <c r="AD233" s="34"/>
      <c r="AE233" s="34"/>
      <c r="AF233" s="10"/>
    </row>
    <row r="234" spans="1:32" s="5" customFormat="1"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32" s="5" customFormat="1" ht="18.5">
      <c r="B235" s="33" t="s">
        <v>95</v>
      </c>
      <c r="C235" s="33"/>
      <c r="D235" s="33"/>
      <c r="E235" s="23"/>
      <c r="F235" s="23"/>
      <c r="G235" s="23"/>
      <c r="H235" s="23"/>
      <c r="I235" s="217" t="str">
        <f>Datenblatt!$B$4</f>
        <v>Dummy Name</v>
      </c>
      <c r="J235" s="217"/>
      <c r="K235" s="217"/>
      <c r="L235" s="217"/>
      <c r="M235" s="217"/>
      <c r="N235" s="217"/>
      <c r="O235" s="217"/>
      <c r="P235" s="217"/>
      <c r="Q235" s="217"/>
      <c r="R235" s="217"/>
      <c r="S235" s="217"/>
      <c r="T235" s="218" t="str">
        <f>TEXT(B238,"MMMM JJJJ")</f>
        <v>Juli 2022</v>
      </c>
      <c r="U235" s="218"/>
      <c r="V235" s="218"/>
      <c r="W235" s="218"/>
      <c r="X235" s="8"/>
      <c r="Y235" s="8"/>
      <c r="Z235" s="8"/>
    </row>
    <row r="236" spans="1:32" s="5" customFormat="1" ht="15" customHeight="1">
      <c r="I236" s="2"/>
      <c r="J236" s="2"/>
      <c r="K236" s="13"/>
      <c r="L236" s="13"/>
      <c r="M236" s="13"/>
      <c r="N236" s="13"/>
      <c r="O236" s="13"/>
      <c r="P236" s="13"/>
      <c r="Q236" s="13"/>
      <c r="R236" s="13"/>
      <c r="S236" s="13"/>
      <c r="T236" s="221" t="s">
        <v>43</v>
      </c>
      <c r="U236" s="221"/>
      <c r="V236" s="221" t="s">
        <v>45</v>
      </c>
      <c r="W236" s="221" t="s">
        <v>116</v>
      </c>
      <c r="X236" s="221" t="s">
        <v>11</v>
      </c>
      <c r="Y236" s="219" t="s">
        <v>194</v>
      </c>
      <c r="Z236" s="219" t="s">
        <v>7</v>
      </c>
      <c r="AA236" s="220" t="s">
        <v>49</v>
      </c>
      <c r="AB236" s="220"/>
      <c r="AC236" s="160"/>
      <c r="AD236" s="160"/>
    </row>
    <row r="237" spans="1:32" s="5" customFormat="1" ht="15" customHeight="1">
      <c r="B237" s="8"/>
      <c r="C237" s="8"/>
      <c r="D237" s="8" t="s">
        <v>161</v>
      </c>
      <c r="E237" s="8"/>
      <c r="F237" s="8">
        <f>VLOOKUP(Datenblatt!$B$8,Datenblatt!$J:$K,2,FALSE)</f>
        <v>4</v>
      </c>
      <c r="G237" s="8" t="s">
        <v>113</v>
      </c>
      <c r="H237" s="8"/>
      <c r="I237" s="12" t="s">
        <v>92</v>
      </c>
      <c r="J237" s="115" t="s">
        <v>12</v>
      </c>
      <c r="K237" s="12" t="s">
        <v>94</v>
      </c>
      <c r="L237" s="12" t="s">
        <v>85</v>
      </c>
      <c r="M237" s="12" t="s">
        <v>88</v>
      </c>
      <c r="N237" s="12" t="s">
        <v>117</v>
      </c>
      <c r="O237" s="12" t="s">
        <v>117</v>
      </c>
      <c r="P237" s="12" t="s">
        <v>118</v>
      </c>
      <c r="Q237" s="12" t="s">
        <v>118</v>
      </c>
      <c r="R237" s="12" t="s">
        <v>112</v>
      </c>
      <c r="S237" s="12" t="s">
        <v>115</v>
      </c>
      <c r="T237" s="15" t="s">
        <v>51</v>
      </c>
      <c r="U237" s="15" t="s">
        <v>50</v>
      </c>
      <c r="V237" s="222"/>
      <c r="W237" s="222"/>
      <c r="X237" s="222"/>
      <c r="Y237" s="219"/>
      <c r="Z237" s="219" t="s">
        <v>7</v>
      </c>
      <c r="AA237" s="21">
        <v>0.5</v>
      </c>
      <c r="AB237" s="16" t="s">
        <v>114</v>
      </c>
      <c r="AC237" s="16" t="s">
        <v>131</v>
      </c>
      <c r="AD237" s="16" t="s">
        <v>131</v>
      </c>
      <c r="AE237" s="128" t="s">
        <v>195</v>
      </c>
      <c r="AF237" s="16" t="s">
        <v>198</v>
      </c>
    </row>
    <row r="238" spans="1:32" s="9" customFormat="1" ht="13">
      <c r="A238" s="9">
        <f>A199+1</f>
        <v>7</v>
      </c>
      <c r="B238" s="6">
        <f>DATE(Datenblatt!$B$3,A238,1)</f>
        <v>44743</v>
      </c>
      <c r="C238" s="45">
        <f>SMALL(Daten!W:W,COUNTIF(Daten!W:W,"&lt;"&amp;Stundenaufzeichnung!B238+1))</f>
        <v>44578</v>
      </c>
      <c r="D238" s="45" t="str">
        <f t="shared" ref="D238:D268" si="114">IF(J238="","",CONCATENATE(C238," ",J238))</f>
        <v/>
      </c>
      <c r="E238" s="8">
        <f t="shared" ref="E238:E268" si="115">IF(B238="","",WEEKDAY(B238,16))</f>
        <v>7</v>
      </c>
      <c r="F238" s="8">
        <f>MOD(E238+$F$3,7)+1</f>
        <v>5</v>
      </c>
      <c r="G238" s="8">
        <f>IF(B238="","",VLOOKUP(E238,Datenblatt!$L$2:$N$8,3,FALSE))</f>
        <v>0</v>
      </c>
      <c r="H238" s="8" t="str">
        <f>IF(OR(G238=1),"x",IF(I238="","","x"))</f>
        <v/>
      </c>
      <c r="I238" s="11" t="str">
        <f>IFERROR(VLOOKUP(B238,Datenblatt!$E:$F,2,FALSE),"")</f>
        <v/>
      </c>
      <c r="J238" s="113"/>
      <c r="K238" s="19">
        <f>IF(B238&lt;Datenblatt!$B$9,"",IF(B238="","",IF(G238=0,Datenblatt!$B$7,"")))</f>
        <v>6.67</v>
      </c>
      <c r="L238" s="19" t="str">
        <f>IF(AND(J238="Krankenstand",R238=""),K238,"")</f>
        <v/>
      </c>
      <c r="M238" s="124" t="str">
        <f>IF(AND(J238="Urlaub",R238=""),K238,"")</f>
        <v/>
      </c>
      <c r="N238" s="124" t="str">
        <f>IF(AND(L238=Datenblatt!$B$7,NOT(L237=Datenblatt!$B$7),NOT(L239=Datenblatt!$B$7)),"y",IF(AND(L238=Datenblatt!$B$7,L239=Datenblatt!$B$7,NOT(L237=Datenblatt!$B$7)),"a",IF(AND(L238=Datenblatt!$B$7,L237=Datenblatt!$B$7,NOT(L239=Datenblatt!$B$7)),"b","")))</f>
        <v/>
      </c>
      <c r="O238" s="19" t="str">
        <f>IF(N238="a",TEXT(B238,"TT.MM.")&amp;" - ",IF(OR(N238="b",N238="y"),TEXT(B238,"TT.MM.")&amp;"; ",""))</f>
        <v/>
      </c>
      <c r="P238" s="124" t="str">
        <f>IF(AND(M238=Datenblatt!$B$7,NOT(M237=Datenblatt!$B$7),NOT(M239=Datenblatt!$B$7)),"y",IF(AND(M238=Datenblatt!$B$7,M239=Datenblatt!$B$7,NOT(M237=Datenblatt!$B$7)),"a",IF(AND(M238=Datenblatt!$B$7,M237=Datenblatt!$B$7,NOT(M239=Datenblatt!$B$7)),"b","")))</f>
        <v/>
      </c>
      <c r="Q238" s="19" t="str">
        <f>IF(P238="a",TEXT(B238,"TT.MM.")&amp;" - ",IF(OR(P238="b",P238="y"),TEXT(B238,"TT.MM.")&amp;"; ",""))</f>
        <v/>
      </c>
      <c r="R238" s="124" t="str">
        <f>IF(I238="","",IF(AND(OR(J238="Krankenstand",J238="Urlaub",J238=""), AND(G238=0,NOT(I238=""))),Datenblatt!$B$7,""))</f>
        <v/>
      </c>
      <c r="S238" s="19" t="str">
        <f>IF(OR(J238="Krankenstand",J238="Urlaub"),"",IF(J238="","",VLOOKUP(D238,Dienste!C:W,21,)))</f>
        <v/>
      </c>
      <c r="T238" s="18" t="str">
        <f>IF(OR(J238="Krankenstand",J238="Urlaub"),"",IF(J238="","",VLOOKUP(D238,Dienste!C:W,5,)))</f>
        <v/>
      </c>
      <c r="U238" s="18" t="str">
        <f>IF(OR(J238="Krankenstand",J238="Urlaub"),"",IF(J238="","",VLOOKUP(D238,Dienste!C:W,6,)))</f>
        <v/>
      </c>
      <c r="V238" s="18" t="str">
        <f>IF(OR(J238="Krankenstand",J238="Urlaub"),"",IF(J238="","",VLOOKUP(D238,Dienste!C:W,7,)))</f>
        <v/>
      </c>
      <c r="W238" s="18" t="str">
        <f>IF(OR(J238="Krankenstand",J238="Urlaub"),"",IF(J238="","",VLOOKUP(D238,Dienste!C:W,11,)))</f>
        <v/>
      </c>
      <c r="X238" s="18" t="str">
        <f>IF(OR(J238="Krankenstand",J238="Urlaub"),"",IF(J238="","",VLOOKUP(D238,Dienste!C:W,12,)))</f>
        <v/>
      </c>
      <c r="Y238" s="19" t="str">
        <f>IF(OR(J238="Krankenstand",J238="Urlaub"),"",IF(J238="","",VLOOKUP(D238,Dienste!C:W,14,)))</f>
        <v/>
      </c>
      <c r="Z238" s="20" t="str">
        <f>IF(OR(J238="Krankenstand",J238="Urlaub"),"",IF(J238="","",VLOOKUP(D238,Dienste!C:W,15,)))</f>
        <v/>
      </c>
      <c r="AA238" s="124" t="str">
        <f t="shared" ref="AA238:AA266" si="116">IF(OR(Y238="",NOT(AB238="")),"",IF(AND(Y238&lt;AE239,AE239&gt;0),Y238,IF(AE239&gt;0,AE239,"")))</f>
        <v/>
      </c>
      <c r="AB238" s="19" t="str">
        <f t="shared" ref="AB238:AB268" si="117">IF(I238="","",Y238)</f>
        <v/>
      </c>
      <c r="AC238" s="126" t="str">
        <f>_xlfn.CONCAT(_xlfn.CONCAT(IF(I238="","",_xlfn.CONCAT("FT: ",I238,IF(J238="","","; "))),IF(B238&lt;Datenblatt!$B$9,"",IF(B238="","",IF(NOT(J238=""),SUBSTITUTE(SUBSTITUTE(SUBSTITUTE(J238," mR","")," oR","")," O",""),"")))),IF(AF238="","",_xlfn.CONCAT(CHAR(10),"; ",AF238)))</f>
        <v/>
      </c>
      <c r="AD238" s="124" t="str">
        <f>IF(SUM(Y238,R238,M238,L238)&lt;=0,"",SUM(Y238,R238,M238,L238))</f>
        <v/>
      </c>
      <c r="AE238" s="19">
        <f t="shared" ref="AE238:AE267" si="118">IF(OR(Y238="",NOT(AB238="")),AE239,AE239-Y238)</f>
        <v>0</v>
      </c>
      <c r="AF238" s="156"/>
    </row>
    <row r="239" spans="1:32" s="9" customFormat="1" ht="13">
      <c r="B239" s="6">
        <f t="shared" ref="B239:B265" si="119">B238+1</f>
        <v>44744</v>
      </c>
      <c r="C239" s="45">
        <f>SMALL(Daten!W:W,COUNTIF(Daten!W:W,"&lt;"&amp;Stundenaufzeichnung!B239+1))</f>
        <v>44578</v>
      </c>
      <c r="D239" s="45" t="str">
        <f t="shared" si="114"/>
        <v/>
      </c>
      <c r="E239" s="8">
        <f t="shared" si="115"/>
        <v>1</v>
      </c>
      <c r="F239" s="8">
        <f t="shared" ref="F239:F265" si="120">MOD(E239+$F$3,7)+1</f>
        <v>6</v>
      </c>
      <c r="G239" s="8">
        <f>IF(B239="","",VLOOKUP(E239,Datenblatt!$L$2:$N$8,3,FALSE))</f>
        <v>0</v>
      </c>
      <c r="H239" s="8" t="str">
        <f t="shared" ref="H239:H268" si="121">IF(OR(G239=1),"x",IF(I239="","","x"))</f>
        <v/>
      </c>
      <c r="I239" s="11" t="str">
        <f>IFERROR(VLOOKUP(B239,Datenblatt!$E:$F,2,FALSE),"")</f>
        <v/>
      </c>
      <c r="J239" s="113"/>
      <c r="K239" s="19">
        <f>IF(B239&lt;Datenblatt!$B$9,"",IF(B239="","",IF(G239=0,Datenblatt!$B$7,"")))</f>
        <v>6.67</v>
      </c>
      <c r="L239" s="19" t="str">
        <f t="shared" ref="L239:L268" si="122">IF(AND(J239="Krankenstand",R239=""),K239,"")</f>
        <v/>
      </c>
      <c r="M239" s="124" t="str">
        <f t="shared" ref="M239:M268" si="123">IF(AND(J239="Urlaub",R239=""),K239,"")</f>
        <v/>
      </c>
      <c r="N239" s="124" t="str">
        <f>IF(AND(L239=Datenblatt!$B$7,NOT(L238=Datenblatt!$B$7),NOT(L240=Datenblatt!$B$7)),"y",IF(AND(L239=Datenblatt!$B$7,L240=Datenblatt!$B$7,NOT(L238=Datenblatt!$B$7)),"a",IF(AND(L239=Datenblatt!$B$7,L238=Datenblatt!$B$7,NOT(L240=Datenblatt!$B$7)),"b","")))</f>
        <v/>
      </c>
      <c r="O239" s="19" t="str">
        <f t="shared" ref="O239:O268" si="124">IF(N239="a",TEXT(B239,"TT.MM.")&amp;" - ",IF(OR(N239="b",N239="y"),TEXT(B239,"TT.MM.")&amp;"; ",""))</f>
        <v/>
      </c>
      <c r="P239" s="124" t="str">
        <f>IF(AND(M239=Datenblatt!$B$7,NOT(M238=Datenblatt!$B$7),NOT(M240=Datenblatt!$B$7)),"y",IF(AND(M239=Datenblatt!$B$7,M240=Datenblatt!$B$7,NOT(M238=Datenblatt!$B$7)),"a",IF(AND(M239=Datenblatt!$B$7,M238=Datenblatt!$B$7,NOT(M240=Datenblatt!$B$7)),"b","")))</f>
        <v/>
      </c>
      <c r="Q239" s="19" t="str">
        <f t="shared" ref="Q239:Q268" si="125">IF(P239="a",TEXT(B239,"TT.MM.")&amp;" - ",IF(OR(P239="b",P239="y"),TEXT(B239,"TT.MM.")&amp;"; ",""))</f>
        <v/>
      </c>
      <c r="R239" s="124" t="str">
        <f>IF(I239="","",IF(AND(OR(J239="Krankenstand",J239="Urlaub",J239=""), AND(G239=0,NOT(I239=""))),Datenblatt!$B$7,""))</f>
        <v/>
      </c>
      <c r="S239" s="19" t="str">
        <f>IF(OR(J239="Krankenstand",J239="Urlaub"),"",IF(J239="","",VLOOKUP(D239,Dienste!C:W,21,)))</f>
        <v/>
      </c>
      <c r="T239" s="18" t="str">
        <f>IF(OR(J239="Krankenstand",J239="Urlaub"),"",IF(J239="","",VLOOKUP(D239,Dienste!C:W,5,)))</f>
        <v/>
      </c>
      <c r="U239" s="18" t="str">
        <f>IF(OR(J239="Krankenstand",J239="Urlaub"),"",IF(J239="","",VLOOKUP(D239,Dienste!C:W,6,)))</f>
        <v/>
      </c>
      <c r="V239" s="18" t="str">
        <f>IF(OR(J239="Krankenstand",J239="Urlaub"),"",IF(J239="","",VLOOKUP(D239,Dienste!C:W,7,)))</f>
        <v/>
      </c>
      <c r="W239" s="18" t="str">
        <f>IF(OR(J239="Krankenstand",J239="Urlaub"),"",IF(J239="","",VLOOKUP(D239,Dienste!C:W,11,)))</f>
        <v/>
      </c>
      <c r="X239" s="18" t="str">
        <f>IF(OR(J239="Krankenstand",J239="Urlaub"),"",IF(J239="","",VLOOKUP(D239,Dienste!C:W,12,)))</f>
        <v/>
      </c>
      <c r="Y239" s="19" t="str">
        <f>IF(OR(J239="Krankenstand",J239="Urlaub"),"",IF(J239="","",VLOOKUP(D239,Dienste!C:W,14,)))</f>
        <v/>
      </c>
      <c r="Z239" s="20" t="str">
        <f>IF(OR(J239="Krankenstand",J239="Urlaub"),"",IF(J239="","",VLOOKUP(D239,Dienste!C:W,15,)))</f>
        <v/>
      </c>
      <c r="AA239" s="124" t="str">
        <f t="shared" si="116"/>
        <v/>
      </c>
      <c r="AB239" s="19" t="str">
        <f t="shared" si="117"/>
        <v/>
      </c>
      <c r="AC239" s="126" t="str">
        <f>_xlfn.CONCAT(_xlfn.CONCAT(IF(I239="","",_xlfn.CONCAT("FT: ",I239,IF(J239="","","; "))),IF(B239&lt;Datenblatt!$B$9,"",IF(B239="","",IF(NOT(J239=""),SUBSTITUTE(SUBSTITUTE(SUBSTITUTE(J239," mR","")," oR","")," O",""),"")))),IF(AF239="","",_xlfn.CONCAT(CHAR(10),"; ",AF239)))</f>
        <v/>
      </c>
      <c r="AD239" s="124" t="str">
        <f t="shared" ref="AD239:AD268" si="126">IF(SUM(Y239,R239,M239,L239)&lt;=0,"",SUM(Y239,R239,M239,L239))</f>
        <v/>
      </c>
      <c r="AE239" s="19">
        <f t="shared" si="118"/>
        <v>0</v>
      </c>
      <c r="AF239" s="156"/>
    </row>
    <row r="240" spans="1:32" s="9" customFormat="1" ht="13">
      <c r="B240" s="6">
        <f t="shared" si="119"/>
        <v>44745</v>
      </c>
      <c r="C240" s="45">
        <f>SMALL(Daten!W:W,COUNTIF(Daten!W:W,"&lt;"&amp;Stundenaufzeichnung!B240+1))</f>
        <v>44578</v>
      </c>
      <c r="D240" s="45" t="str">
        <f t="shared" si="114"/>
        <v/>
      </c>
      <c r="E240" s="8">
        <f t="shared" si="115"/>
        <v>2</v>
      </c>
      <c r="F240" s="8">
        <f t="shared" si="120"/>
        <v>7</v>
      </c>
      <c r="G240" s="8">
        <f>IF(B240="","",VLOOKUP(E240,Datenblatt!$L$2:$N$8,3,FALSE))</f>
        <v>1</v>
      </c>
      <c r="H240" s="8" t="str">
        <f t="shared" si="121"/>
        <v>x</v>
      </c>
      <c r="I240" s="11" t="str">
        <f>IFERROR(VLOOKUP(B240,Datenblatt!$E:$F,2,FALSE),"")</f>
        <v/>
      </c>
      <c r="J240" s="113"/>
      <c r="K240" s="19" t="str">
        <f>IF(B240&lt;Datenblatt!$B$9,"",IF(B240="","",IF(G240=0,Datenblatt!$B$7,"")))</f>
        <v/>
      </c>
      <c r="L240" s="19" t="str">
        <f t="shared" si="122"/>
        <v/>
      </c>
      <c r="M240" s="124" t="str">
        <f t="shared" si="123"/>
        <v/>
      </c>
      <c r="N240" s="124" t="str">
        <f>IF(AND(L240=Datenblatt!$B$7,NOT(L239=Datenblatt!$B$7),NOT(L241=Datenblatt!$B$7)),"y",IF(AND(L240=Datenblatt!$B$7,L241=Datenblatt!$B$7,NOT(L239=Datenblatt!$B$7)),"a",IF(AND(L240=Datenblatt!$B$7,L239=Datenblatt!$B$7,NOT(L241=Datenblatt!$B$7)),"b","")))</f>
        <v/>
      </c>
      <c r="O240" s="19" t="str">
        <f t="shared" si="124"/>
        <v/>
      </c>
      <c r="P240" s="124" t="str">
        <f>IF(AND(M240=Datenblatt!$B$7,NOT(M239=Datenblatt!$B$7),NOT(M241=Datenblatt!$B$7)),"y",IF(AND(M240=Datenblatt!$B$7,M241=Datenblatt!$B$7,NOT(M239=Datenblatt!$B$7)),"a",IF(AND(M240=Datenblatt!$B$7,M239=Datenblatt!$B$7,NOT(M241=Datenblatt!$B$7)),"b","")))</f>
        <v/>
      </c>
      <c r="Q240" s="19" t="str">
        <f t="shared" si="125"/>
        <v/>
      </c>
      <c r="R240" s="124" t="str">
        <f>IF(I240="","",IF(AND(OR(J240="Krankenstand",J240="Urlaub",J240=""), AND(G240=0,NOT(I240=""))),Datenblatt!$B$7,""))</f>
        <v/>
      </c>
      <c r="S240" s="19" t="str">
        <f>IF(OR(J240="Krankenstand",J240="Urlaub"),"",IF(J240="","",VLOOKUP(D240,Dienste!C:W,21,)))</f>
        <v/>
      </c>
      <c r="T240" s="18" t="str">
        <f>IF(OR(J240="Krankenstand",J240="Urlaub"),"",IF(J240="","",VLOOKUP(D240,Dienste!C:W,5,)))</f>
        <v/>
      </c>
      <c r="U240" s="18" t="str">
        <f>IF(OR(J240="Krankenstand",J240="Urlaub"),"",IF(J240="","",VLOOKUP(D240,Dienste!C:W,6,)))</f>
        <v/>
      </c>
      <c r="V240" s="18" t="str">
        <f>IF(OR(J240="Krankenstand",J240="Urlaub"),"",IF(J240="","",VLOOKUP(D240,Dienste!C:W,7,)))</f>
        <v/>
      </c>
      <c r="W240" s="18" t="str">
        <f>IF(OR(J240="Krankenstand",J240="Urlaub"),"",IF(J240="","",VLOOKUP(D240,Dienste!C:W,11,)))</f>
        <v/>
      </c>
      <c r="X240" s="18" t="str">
        <f>IF(OR(J240="Krankenstand",J240="Urlaub"),"",IF(J240="","",VLOOKUP(D240,Dienste!C:W,12,)))</f>
        <v/>
      </c>
      <c r="Y240" s="19" t="str">
        <f>IF(OR(J240="Krankenstand",J240="Urlaub"),"",IF(J240="","",VLOOKUP(D240,Dienste!C:W,14,)))</f>
        <v/>
      </c>
      <c r="Z240" s="20" t="str">
        <f>IF(OR(J240="Krankenstand",J240="Urlaub"),"",IF(J240="","",VLOOKUP(D240,Dienste!C:W,15,)))</f>
        <v/>
      </c>
      <c r="AA240" s="124" t="str">
        <f t="shared" si="116"/>
        <v/>
      </c>
      <c r="AB240" s="19" t="str">
        <f t="shared" si="117"/>
        <v/>
      </c>
      <c r="AC240" s="126" t="str">
        <f>_xlfn.CONCAT(_xlfn.CONCAT(IF(I240="","",_xlfn.CONCAT("FT: ",I240,IF(J240="","","; "))),IF(B240&lt;Datenblatt!$B$9,"",IF(B240="","",IF(NOT(J240=""),SUBSTITUTE(SUBSTITUTE(SUBSTITUTE(J240," mR","")," oR","")," O",""),"")))),IF(AF240="","",_xlfn.CONCAT(CHAR(10),"; ",AF240)))</f>
        <v/>
      </c>
      <c r="AD240" s="124" t="str">
        <f t="shared" si="126"/>
        <v/>
      </c>
      <c r="AE240" s="19">
        <f t="shared" si="118"/>
        <v>0</v>
      </c>
      <c r="AF240" s="156"/>
    </row>
    <row r="241" spans="2:32" s="9" customFormat="1" ht="13">
      <c r="B241" s="6">
        <f t="shared" si="119"/>
        <v>44746</v>
      </c>
      <c r="C241" s="45">
        <f>SMALL(Daten!W:W,COUNTIF(Daten!W:W,"&lt;"&amp;Stundenaufzeichnung!B241+1))</f>
        <v>44578</v>
      </c>
      <c r="D241" s="45" t="str">
        <f t="shared" si="114"/>
        <v/>
      </c>
      <c r="E241" s="8">
        <f t="shared" si="115"/>
        <v>3</v>
      </c>
      <c r="F241" s="8">
        <f t="shared" si="120"/>
        <v>1</v>
      </c>
      <c r="G241" s="8">
        <f>IF(B241="","",VLOOKUP(E241,Datenblatt!$L$2:$N$8,3,FALSE))</f>
        <v>0</v>
      </c>
      <c r="H241" s="8" t="str">
        <f t="shared" si="121"/>
        <v/>
      </c>
      <c r="I241" s="11" t="str">
        <f>IFERROR(VLOOKUP(B241,Datenblatt!$E:$F,2,FALSE),"")</f>
        <v/>
      </c>
      <c r="J241" s="113"/>
      <c r="K241" s="19">
        <f>IF(B241&lt;Datenblatt!$B$9,"",IF(B241="","",IF(G241=0,Datenblatt!$B$7,"")))</f>
        <v>6.67</v>
      </c>
      <c r="L241" s="19" t="str">
        <f t="shared" si="122"/>
        <v/>
      </c>
      <c r="M241" s="124" t="str">
        <f t="shared" si="123"/>
        <v/>
      </c>
      <c r="N241" s="124" t="str">
        <f>IF(AND(L241=Datenblatt!$B$7,NOT(L240=Datenblatt!$B$7),NOT(L242=Datenblatt!$B$7)),"y",IF(AND(L241=Datenblatt!$B$7,L242=Datenblatt!$B$7,NOT(L240=Datenblatt!$B$7)),"a",IF(AND(L241=Datenblatt!$B$7,L240=Datenblatt!$B$7,NOT(L242=Datenblatt!$B$7)),"b","")))</f>
        <v/>
      </c>
      <c r="O241" s="19" t="str">
        <f t="shared" si="124"/>
        <v/>
      </c>
      <c r="P241" s="124" t="str">
        <f>IF(AND(M241=Datenblatt!$B$7,NOT(M240=Datenblatt!$B$7),NOT(M242=Datenblatt!$B$7)),"y",IF(AND(M241=Datenblatt!$B$7,M242=Datenblatt!$B$7,NOT(M240=Datenblatt!$B$7)),"a",IF(AND(M241=Datenblatt!$B$7,M240=Datenblatt!$B$7,NOT(M242=Datenblatt!$B$7)),"b","")))</f>
        <v/>
      </c>
      <c r="Q241" s="19" t="str">
        <f t="shared" si="125"/>
        <v/>
      </c>
      <c r="R241" s="124" t="str">
        <f>IF(I241="","",IF(AND(OR(J241="Krankenstand",J241="Urlaub",J241=""), AND(G241=0,NOT(I241=""))),Datenblatt!$B$7,""))</f>
        <v/>
      </c>
      <c r="S241" s="19" t="str">
        <f>IF(OR(J241="Krankenstand",J241="Urlaub"),"",IF(J241="","",VLOOKUP(D241,Dienste!C:W,21,)))</f>
        <v/>
      </c>
      <c r="T241" s="18" t="str">
        <f>IF(OR(J241="Krankenstand",J241="Urlaub"),"",IF(J241="","",VLOOKUP(D241,Dienste!C:W,5,)))</f>
        <v/>
      </c>
      <c r="U241" s="18" t="str">
        <f>IF(OR(J241="Krankenstand",J241="Urlaub"),"",IF(J241="","",VLOOKUP(D241,Dienste!C:W,6,)))</f>
        <v/>
      </c>
      <c r="V241" s="18" t="str">
        <f>IF(OR(J241="Krankenstand",J241="Urlaub"),"",IF(J241="","",VLOOKUP(D241,Dienste!C:W,7,)))</f>
        <v/>
      </c>
      <c r="W241" s="18" t="str">
        <f>IF(OR(J241="Krankenstand",J241="Urlaub"),"",IF(J241="","",VLOOKUP(D241,Dienste!C:W,11,)))</f>
        <v/>
      </c>
      <c r="X241" s="18" t="str">
        <f>IF(OR(J241="Krankenstand",J241="Urlaub"),"",IF(J241="","",VLOOKUP(D241,Dienste!C:W,12,)))</f>
        <v/>
      </c>
      <c r="Y241" s="19" t="str">
        <f>IF(OR(J241="Krankenstand",J241="Urlaub"),"",IF(J241="","",VLOOKUP(D241,Dienste!C:W,14,)))</f>
        <v/>
      </c>
      <c r="Z241" s="20" t="str">
        <f>IF(OR(J241="Krankenstand",J241="Urlaub"),"",IF(J241="","",VLOOKUP(D241,Dienste!C:W,15,)))</f>
        <v/>
      </c>
      <c r="AA241" s="124" t="str">
        <f t="shared" si="116"/>
        <v/>
      </c>
      <c r="AB241" s="19" t="str">
        <f t="shared" si="117"/>
        <v/>
      </c>
      <c r="AC241" s="126" t="str">
        <f>_xlfn.CONCAT(_xlfn.CONCAT(IF(I241="","",_xlfn.CONCAT("FT: ",I241,IF(J241="","","; "))),IF(B241&lt;Datenblatt!$B$9,"",IF(B241="","",IF(NOT(J241=""),SUBSTITUTE(SUBSTITUTE(SUBSTITUTE(J241," mR","")," oR","")," O",""),"")))),IF(AF241="","",_xlfn.CONCAT(CHAR(10),"; ",AF241)))</f>
        <v/>
      </c>
      <c r="AD241" s="124" t="str">
        <f t="shared" si="126"/>
        <v/>
      </c>
      <c r="AE241" s="19">
        <f t="shared" si="118"/>
        <v>0</v>
      </c>
      <c r="AF241" s="156"/>
    </row>
    <row r="242" spans="2:32" s="9" customFormat="1" ht="13">
      <c r="B242" s="6">
        <f t="shared" si="119"/>
        <v>44747</v>
      </c>
      <c r="C242" s="45">
        <f>SMALL(Daten!W:W,COUNTIF(Daten!W:W,"&lt;"&amp;Stundenaufzeichnung!B242+1))</f>
        <v>44578</v>
      </c>
      <c r="D242" s="45" t="str">
        <f t="shared" si="114"/>
        <v/>
      </c>
      <c r="E242" s="8">
        <f t="shared" si="115"/>
        <v>4</v>
      </c>
      <c r="F242" s="8">
        <f t="shared" si="120"/>
        <v>2</v>
      </c>
      <c r="G242" s="8">
        <f>IF(B242="","",VLOOKUP(E242,Datenblatt!$L$2:$N$8,3,FALSE))</f>
        <v>0</v>
      </c>
      <c r="H242" s="8" t="str">
        <f t="shared" si="121"/>
        <v/>
      </c>
      <c r="I242" s="11" t="str">
        <f>IFERROR(VLOOKUP(B242,Datenblatt!$E:$F,2,FALSE),"")</f>
        <v/>
      </c>
      <c r="J242" s="113"/>
      <c r="K242" s="19">
        <f>IF(B242&lt;Datenblatt!$B$9,"",IF(B242="","",IF(G242=0,Datenblatt!$B$7,"")))</f>
        <v>6.67</v>
      </c>
      <c r="L242" s="19" t="str">
        <f t="shared" si="122"/>
        <v/>
      </c>
      <c r="M242" s="124" t="str">
        <f t="shared" si="123"/>
        <v/>
      </c>
      <c r="N242" s="124" t="str">
        <f>IF(AND(L242=Datenblatt!$B$7,NOT(L241=Datenblatt!$B$7),NOT(L243=Datenblatt!$B$7)),"y",IF(AND(L242=Datenblatt!$B$7,L243=Datenblatt!$B$7,NOT(L241=Datenblatt!$B$7)),"a",IF(AND(L242=Datenblatt!$B$7,L241=Datenblatt!$B$7,NOT(L243=Datenblatt!$B$7)),"b","")))</f>
        <v/>
      </c>
      <c r="O242" s="19" t="str">
        <f t="shared" si="124"/>
        <v/>
      </c>
      <c r="P242" s="124" t="str">
        <f>IF(AND(M242=Datenblatt!$B$7,NOT(M241=Datenblatt!$B$7),NOT(M243=Datenblatt!$B$7)),"y",IF(AND(M242=Datenblatt!$B$7,M243=Datenblatt!$B$7,NOT(M241=Datenblatt!$B$7)),"a",IF(AND(M242=Datenblatt!$B$7,M241=Datenblatt!$B$7,NOT(M243=Datenblatt!$B$7)),"b","")))</f>
        <v/>
      </c>
      <c r="Q242" s="19" t="str">
        <f t="shared" si="125"/>
        <v/>
      </c>
      <c r="R242" s="124" t="str">
        <f>IF(I242="","",IF(AND(OR(J242="Krankenstand",J242="Urlaub",J242=""), AND(G242=0,NOT(I242=""))),Datenblatt!$B$7,""))</f>
        <v/>
      </c>
      <c r="S242" s="19" t="str">
        <f>IF(OR(J242="Krankenstand",J242="Urlaub"),"",IF(J242="","",VLOOKUP(D242,Dienste!C:W,21,)))</f>
        <v/>
      </c>
      <c r="T242" s="18" t="str">
        <f>IF(OR(J242="Krankenstand",J242="Urlaub"),"",IF(J242="","",VLOOKUP(D242,Dienste!C:W,5,)))</f>
        <v/>
      </c>
      <c r="U242" s="18" t="str">
        <f>IF(OR(J242="Krankenstand",J242="Urlaub"),"",IF(J242="","",VLOOKUP(D242,Dienste!C:W,6,)))</f>
        <v/>
      </c>
      <c r="V242" s="18" t="str">
        <f>IF(OR(J242="Krankenstand",J242="Urlaub"),"",IF(J242="","",VLOOKUP(D242,Dienste!C:W,7,)))</f>
        <v/>
      </c>
      <c r="W242" s="18" t="str">
        <f>IF(OR(J242="Krankenstand",J242="Urlaub"),"",IF(J242="","",VLOOKUP(D242,Dienste!C:W,11,)))</f>
        <v/>
      </c>
      <c r="X242" s="18" t="str">
        <f>IF(OR(J242="Krankenstand",J242="Urlaub"),"",IF(J242="","",VLOOKUP(D242,Dienste!C:W,12,)))</f>
        <v/>
      </c>
      <c r="Y242" s="19" t="str">
        <f>IF(OR(J242="Krankenstand",J242="Urlaub"),"",IF(J242="","",VLOOKUP(D242,Dienste!C:W,14,)))</f>
        <v/>
      </c>
      <c r="Z242" s="20" t="str">
        <f>IF(OR(J242="Krankenstand",J242="Urlaub"),"",IF(J242="","",VLOOKUP(D242,Dienste!C:W,15,)))</f>
        <v/>
      </c>
      <c r="AA242" s="124" t="str">
        <f t="shared" si="116"/>
        <v/>
      </c>
      <c r="AB242" s="19" t="str">
        <f t="shared" si="117"/>
        <v/>
      </c>
      <c r="AC242" s="126" t="str">
        <f>_xlfn.CONCAT(_xlfn.CONCAT(IF(I242="","",_xlfn.CONCAT("FT: ",I242,IF(J242="","","; "))),IF(B242&lt;Datenblatt!$B$9,"",IF(B242="","",IF(NOT(J242=""),SUBSTITUTE(SUBSTITUTE(SUBSTITUTE(J242," mR","")," oR","")," O",""),"")))),IF(AF242="","",_xlfn.CONCAT(CHAR(10),"; ",AF242)))</f>
        <v/>
      </c>
      <c r="AD242" s="124" t="str">
        <f t="shared" si="126"/>
        <v/>
      </c>
      <c r="AE242" s="19">
        <f t="shared" si="118"/>
        <v>0</v>
      </c>
      <c r="AF242" s="156"/>
    </row>
    <row r="243" spans="2:32" s="9" customFormat="1" ht="13">
      <c r="B243" s="6">
        <f t="shared" si="119"/>
        <v>44748</v>
      </c>
      <c r="C243" s="45">
        <f>SMALL(Daten!W:W,COUNTIF(Daten!W:W,"&lt;"&amp;Stundenaufzeichnung!B243+1))</f>
        <v>44578</v>
      </c>
      <c r="D243" s="45" t="str">
        <f t="shared" si="114"/>
        <v/>
      </c>
      <c r="E243" s="8">
        <f t="shared" si="115"/>
        <v>5</v>
      </c>
      <c r="F243" s="8">
        <f t="shared" si="120"/>
        <v>3</v>
      </c>
      <c r="G243" s="8">
        <f>IF(B243="","",VLOOKUP(E243,Datenblatt!$L$2:$N$8,3,FALSE))</f>
        <v>0</v>
      </c>
      <c r="H243" s="8" t="str">
        <f t="shared" si="121"/>
        <v/>
      </c>
      <c r="I243" s="11" t="str">
        <f>IFERROR(VLOOKUP(B243,Datenblatt!$E:$F,2,FALSE),"")</f>
        <v/>
      </c>
      <c r="J243" s="113"/>
      <c r="K243" s="19">
        <f>IF(B243&lt;Datenblatt!$B$9,"",IF(B243="","",IF(G243=0,Datenblatt!$B$7,"")))</f>
        <v>6.67</v>
      </c>
      <c r="L243" s="19" t="str">
        <f t="shared" si="122"/>
        <v/>
      </c>
      <c r="M243" s="124" t="str">
        <f t="shared" si="123"/>
        <v/>
      </c>
      <c r="N243" s="124" t="str">
        <f>IF(AND(L243=Datenblatt!$B$7,NOT(L242=Datenblatt!$B$7),NOT(L244=Datenblatt!$B$7)),"y",IF(AND(L243=Datenblatt!$B$7,L244=Datenblatt!$B$7,NOT(L242=Datenblatt!$B$7)),"a",IF(AND(L243=Datenblatt!$B$7,L242=Datenblatt!$B$7,NOT(L244=Datenblatt!$B$7)),"b","")))</f>
        <v/>
      </c>
      <c r="O243" s="19" t="str">
        <f t="shared" si="124"/>
        <v/>
      </c>
      <c r="P243" s="124" t="str">
        <f>IF(AND(M243=Datenblatt!$B$7,NOT(M242=Datenblatt!$B$7),NOT(M244=Datenblatt!$B$7)),"y",IF(AND(M243=Datenblatt!$B$7,M244=Datenblatt!$B$7,NOT(M242=Datenblatt!$B$7)),"a",IF(AND(M243=Datenblatt!$B$7,M242=Datenblatt!$B$7,NOT(M244=Datenblatt!$B$7)),"b","")))</f>
        <v/>
      </c>
      <c r="Q243" s="19" t="str">
        <f t="shared" si="125"/>
        <v/>
      </c>
      <c r="R243" s="124" t="str">
        <f>IF(I243="","",IF(AND(OR(J243="Krankenstand",J243="Urlaub",J243=""), AND(G243=0,NOT(I243=""))),Datenblatt!$B$7,""))</f>
        <v/>
      </c>
      <c r="S243" s="19" t="str">
        <f>IF(OR(J243="Krankenstand",J243="Urlaub"),"",IF(J243="","",VLOOKUP(D243,Dienste!C:W,21,)))</f>
        <v/>
      </c>
      <c r="T243" s="18" t="str">
        <f>IF(OR(J243="Krankenstand",J243="Urlaub"),"",IF(J243="","",VLOOKUP(D243,Dienste!C:W,5,)))</f>
        <v/>
      </c>
      <c r="U243" s="18" t="str">
        <f>IF(OR(J243="Krankenstand",J243="Urlaub"),"",IF(J243="","",VLOOKUP(D243,Dienste!C:W,6,)))</f>
        <v/>
      </c>
      <c r="V243" s="18" t="str">
        <f>IF(OR(J243="Krankenstand",J243="Urlaub"),"",IF(J243="","",VLOOKUP(D243,Dienste!C:W,7,)))</f>
        <v/>
      </c>
      <c r="W243" s="18" t="str">
        <f>IF(OR(J243="Krankenstand",J243="Urlaub"),"",IF(J243="","",VLOOKUP(D243,Dienste!C:W,11,)))</f>
        <v/>
      </c>
      <c r="X243" s="18" t="str">
        <f>IF(OR(J243="Krankenstand",J243="Urlaub"),"",IF(J243="","",VLOOKUP(D243,Dienste!C:W,12,)))</f>
        <v/>
      </c>
      <c r="Y243" s="19" t="str">
        <f>IF(OR(J243="Krankenstand",J243="Urlaub"),"",IF(J243="","",VLOOKUP(D243,Dienste!C:W,14,)))</f>
        <v/>
      </c>
      <c r="Z243" s="20" t="str">
        <f>IF(OR(J243="Krankenstand",J243="Urlaub"),"",IF(J243="","",VLOOKUP(D243,Dienste!C:W,15,)))</f>
        <v/>
      </c>
      <c r="AA243" s="124" t="str">
        <f t="shared" si="116"/>
        <v/>
      </c>
      <c r="AB243" s="19" t="str">
        <f t="shared" si="117"/>
        <v/>
      </c>
      <c r="AC243" s="126" t="str">
        <f>_xlfn.CONCAT(_xlfn.CONCAT(IF(I243="","",_xlfn.CONCAT("FT: ",I243,IF(J243="","","; "))),IF(B243&lt;Datenblatt!$B$9,"",IF(B243="","",IF(NOT(J243=""),SUBSTITUTE(SUBSTITUTE(SUBSTITUTE(J243," mR","")," oR","")," O",""),"")))),IF(AF243="","",_xlfn.CONCAT(CHAR(10),"; ",AF243)))</f>
        <v/>
      </c>
      <c r="AD243" s="124" t="str">
        <f t="shared" si="126"/>
        <v/>
      </c>
      <c r="AE243" s="19">
        <f t="shared" si="118"/>
        <v>0</v>
      </c>
      <c r="AF243" s="156"/>
    </row>
    <row r="244" spans="2:32" s="9" customFormat="1" ht="13">
      <c r="B244" s="6">
        <f t="shared" si="119"/>
        <v>44749</v>
      </c>
      <c r="C244" s="45">
        <f>SMALL(Daten!W:W,COUNTIF(Daten!W:W,"&lt;"&amp;Stundenaufzeichnung!B244+1))</f>
        <v>44578</v>
      </c>
      <c r="D244" s="45" t="str">
        <f t="shared" si="114"/>
        <v/>
      </c>
      <c r="E244" s="8">
        <f t="shared" si="115"/>
        <v>6</v>
      </c>
      <c r="F244" s="8">
        <f t="shared" si="120"/>
        <v>4</v>
      </c>
      <c r="G244" s="8">
        <f>IF(B244="","",VLOOKUP(E244,Datenblatt!$L$2:$N$8,3,FALSE))</f>
        <v>0</v>
      </c>
      <c r="H244" s="8" t="str">
        <f t="shared" si="121"/>
        <v/>
      </c>
      <c r="I244" s="11" t="str">
        <f>IFERROR(VLOOKUP(B244,Datenblatt!$E:$F,2,FALSE),"")</f>
        <v/>
      </c>
      <c r="J244" s="113"/>
      <c r="K244" s="19">
        <f>IF(B244&lt;Datenblatt!$B$9,"",IF(B244="","",IF(G244=0,Datenblatt!$B$7,"")))</f>
        <v>6.67</v>
      </c>
      <c r="L244" s="19" t="str">
        <f t="shared" si="122"/>
        <v/>
      </c>
      <c r="M244" s="124" t="str">
        <f t="shared" si="123"/>
        <v/>
      </c>
      <c r="N244" s="124" t="str">
        <f>IF(AND(L244=Datenblatt!$B$7,NOT(L243=Datenblatt!$B$7),NOT(L245=Datenblatt!$B$7)),"y",IF(AND(L244=Datenblatt!$B$7,L245=Datenblatt!$B$7,NOT(L243=Datenblatt!$B$7)),"a",IF(AND(L244=Datenblatt!$B$7,L243=Datenblatt!$B$7,NOT(L245=Datenblatt!$B$7)),"b","")))</f>
        <v/>
      </c>
      <c r="O244" s="19" t="str">
        <f t="shared" si="124"/>
        <v/>
      </c>
      <c r="P244" s="124" t="str">
        <f>IF(AND(M244=Datenblatt!$B$7,NOT(M243=Datenblatt!$B$7),NOT(M245=Datenblatt!$B$7)),"y",IF(AND(M244=Datenblatt!$B$7,M245=Datenblatt!$B$7,NOT(M243=Datenblatt!$B$7)),"a",IF(AND(M244=Datenblatt!$B$7,M243=Datenblatt!$B$7,NOT(M245=Datenblatt!$B$7)),"b","")))</f>
        <v/>
      </c>
      <c r="Q244" s="19" t="str">
        <f t="shared" si="125"/>
        <v/>
      </c>
      <c r="R244" s="124" t="str">
        <f>IF(I244="","",IF(AND(OR(J244="Krankenstand",J244="Urlaub",J244=""), AND(G244=0,NOT(I244=""))),Datenblatt!$B$7,""))</f>
        <v/>
      </c>
      <c r="S244" s="19" t="str">
        <f>IF(OR(J244="Krankenstand",J244="Urlaub"),"",IF(J244="","",VLOOKUP(D244,Dienste!C:W,21,)))</f>
        <v/>
      </c>
      <c r="T244" s="18" t="str">
        <f>IF(OR(J244="Krankenstand",J244="Urlaub"),"",IF(J244="","",VLOOKUP(D244,Dienste!C:W,5,)))</f>
        <v/>
      </c>
      <c r="U244" s="18" t="str">
        <f>IF(OR(J244="Krankenstand",J244="Urlaub"),"",IF(J244="","",VLOOKUP(D244,Dienste!C:W,6,)))</f>
        <v/>
      </c>
      <c r="V244" s="18" t="str">
        <f>IF(OR(J244="Krankenstand",J244="Urlaub"),"",IF(J244="","",VLOOKUP(D244,Dienste!C:W,7,)))</f>
        <v/>
      </c>
      <c r="W244" s="18" t="str">
        <f>IF(OR(J244="Krankenstand",J244="Urlaub"),"",IF(J244="","",VLOOKUP(D244,Dienste!C:W,11,)))</f>
        <v/>
      </c>
      <c r="X244" s="18" t="str">
        <f>IF(OR(J244="Krankenstand",J244="Urlaub"),"",IF(J244="","",VLOOKUP(D244,Dienste!C:W,12,)))</f>
        <v/>
      </c>
      <c r="Y244" s="19" t="str">
        <f>IF(OR(J244="Krankenstand",J244="Urlaub"),"",IF(J244="","",VLOOKUP(D244,Dienste!C:W,14,)))</f>
        <v/>
      </c>
      <c r="Z244" s="20" t="str">
        <f>IF(OR(J244="Krankenstand",J244="Urlaub"),"",IF(J244="","",VLOOKUP(D244,Dienste!C:W,15,)))</f>
        <v/>
      </c>
      <c r="AA244" s="124" t="str">
        <f t="shared" si="116"/>
        <v/>
      </c>
      <c r="AB244" s="19" t="str">
        <f t="shared" si="117"/>
        <v/>
      </c>
      <c r="AC244" s="126" t="str">
        <f>_xlfn.CONCAT(_xlfn.CONCAT(IF(I244="","",_xlfn.CONCAT("FT: ",I244,IF(J244="","","; "))),IF(B244&lt;Datenblatt!$B$9,"",IF(B244="","",IF(NOT(J244=""),SUBSTITUTE(SUBSTITUTE(SUBSTITUTE(J244," mR","")," oR","")," O",""),"")))),IF(AF244="","",_xlfn.CONCAT(CHAR(10),"; ",AF244)))</f>
        <v/>
      </c>
      <c r="AD244" s="124" t="str">
        <f t="shared" si="126"/>
        <v/>
      </c>
      <c r="AE244" s="19">
        <f t="shared" si="118"/>
        <v>0</v>
      </c>
      <c r="AF244" s="156"/>
    </row>
    <row r="245" spans="2:32" s="9" customFormat="1" ht="13">
      <c r="B245" s="6">
        <f t="shared" si="119"/>
        <v>44750</v>
      </c>
      <c r="C245" s="45">
        <f>SMALL(Daten!W:W,COUNTIF(Daten!W:W,"&lt;"&amp;Stundenaufzeichnung!B245+1))</f>
        <v>44578</v>
      </c>
      <c r="D245" s="45" t="str">
        <f t="shared" si="114"/>
        <v/>
      </c>
      <c r="E245" s="8">
        <f t="shared" si="115"/>
        <v>7</v>
      </c>
      <c r="F245" s="8">
        <f t="shared" si="120"/>
        <v>5</v>
      </c>
      <c r="G245" s="8">
        <f>IF(B245="","",VLOOKUP(E245,Datenblatt!$L$2:$N$8,3,FALSE))</f>
        <v>0</v>
      </c>
      <c r="H245" s="8" t="str">
        <f t="shared" si="121"/>
        <v/>
      </c>
      <c r="I245" s="11" t="str">
        <f>IFERROR(VLOOKUP(B245,Datenblatt!$E:$F,2,FALSE),"")</f>
        <v/>
      </c>
      <c r="J245" s="113"/>
      <c r="K245" s="19">
        <f>IF(B245&lt;Datenblatt!$B$9,"",IF(B245="","",IF(G245=0,Datenblatt!$B$7,"")))</f>
        <v>6.67</v>
      </c>
      <c r="L245" s="19" t="str">
        <f t="shared" si="122"/>
        <v/>
      </c>
      <c r="M245" s="124" t="str">
        <f t="shared" si="123"/>
        <v/>
      </c>
      <c r="N245" s="124" t="str">
        <f>IF(AND(L245=Datenblatt!$B$7,NOT(L244=Datenblatt!$B$7),NOT(L246=Datenblatt!$B$7)),"y",IF(AND(L245=Datenblatt!$B$7,L246=Datenblatt!$B$7,NOT(L244=Datenblatt!$B$7)),"a",IF(AND(L245=Datenblatt!$B$7,L244=Datenblatt!$B$7,NOT(L246=Datenblatt!$B$7)),"b","")))</f>
        <v/>
      </c>
      <c r="O245" s="19" t="str">
        <f t="shared" si="124"/>
        <v/>
      </c>
      <c r="P245" s="124" t="str">
        <f>IF(AND(M245=Datenblatt!$B$7,NOT(M244=Datenblatt!$B$7),NOT(M246=Datenblatt!$B$7)),"y",IF(AND(M245=Datenblatt!$B$7,M246=Datenblatt!$B$7,NOT(M244=Datenblatt!$B$7)),"a",IF(AND(M245=Datenblatt!$B$7,M244=Datenblatt!$B$7,NOT(M246=Datenblatt!$B$7)),"b","")))</f>
        <v/>
      </c>
      <c r="Q245" s="19" t="str">
        <f t="shared" si="125"/>
        <v/>
      </c>
      <c r="R245" s="124" t="str">
        <f>IF(I245="","",IF(AND(OR(J245="Krankenstand",J245="Urlaub",J245=""), AND(G245=0,NOT(I245=""))),Datenblatt!$B$7,""))</f>
        <v/>
      </c>
      <c r="S245" s="19" t="str">
        <f>IF(OR(J245="Krankenstand",J245="Urlaub"),"",IF(J245="","",VLOOKUP(D245,Dienste!C:W,21,)))</f>
        <v/>
      </c>
      <c r="T245" s="18" t="str">
        <f>IF(OR(J245="Krankenstand",J245="Urlaub"),"",IF(J245="","",VLOOKUP(D245,Dienste!C:W,5,)))</f>
        <v/>
      </c>
      <c r="U245" s="18" t="str">
        <f>IF(OR(J245="Krankenstand",J245="Urlaub"),"",IF(J245="","",VLOOKUP(D245,Dienste!C:W,6,)))</f>
        <v/>
      </c>
      <c r="V245" s="18" t="str">
        <f>IF(OR(J245="Krankenstand",J245="Urlaub"),"",IF(J245="","",VLOOKUP(D245,Dienste!C:W,7,)))</f>
        <v/>
      </c>
      <c r="W245" s="18" t="str">
        <f>IF(OR(J245="Krankenstand",J245="Urlaub"),"",IF(J245="","",VLOOKUP(D245,Dienste!C:W,11,)))</f>
        <v/>
      </c>
      <c r="X245" s="18" t="str">
        <f>IF(OR(J245="Krankenstand",J245="Urlaub"),"",IF(J245="","",VLOOKUP(D245,Dienste!C:W,12,)))</f>
        <v/>
      </c>
      <c r="Y245" s="19" t="str">
        <f>IF(OR(J245="Krankenstand",J245="Urlaub"),"",IF(J245="","",VLOOKUP(D245,Dienste!C:W,14,)))</f>
        <v/>
      </c>
      <c r="Z245" s="20" t="str">
        <f>IF(OR(J245="Krankenstand",J245="Urlaub"),"",IF(J245="","",VLOOKUP(D245,Dienste!C:W,15,)))</f>
        <v/>
      </c>
      <c r="AA245" s="124" t="str">
        <f t="shared" si="116"/>
        <v/>
      </c>
      <c r="AB245" s="19" t="str">
        <f t="shared" si="117"/>
        <v/>
      </c>
      <c r="AC245" s="126" t="str">
        <f>_xlfn.CONCAT(_xlfn.CONCAT(IF(I245="","",_xlfn.CONCAT("FT: ",I245,IF(J245="","","; "))),IF(B245&lt;Datenblatt!$B$9,"",IF(B245="","",IF(NOT(J245=""),SUBSTITUTE(SUBSTITUTE(SUBSTITUTE(J245," mR","")," oR","")," O",""),"")))),IF(AF245="","",_xlfn.CONCAT(CHAR(10),"; ",AF245)))</f>
        <v/>
      </c>
      <c r="AD245" s="124" t="str">
        <f t="shared" si="126"/>
        <v/>
      </c>
      <c r="AE245" s="19">
        <f t="shared" si="118"/>
        <v>0</v>
      </c>
      <c r="AF245" s="156"/>
    </row>
    <row r="246" spans="2:32" s="9" customFormat="1" ht="13">
      <c r="B246" s="6">
        <f t="shared" si="119"/>
        <v>44751</v>
      </c>
      <c r="C246" s="45">
        <f>SMALL(Daten!W:W,COUNTIF(Daten!W:W,"&lt;"&amp;Stundenaufzeichnung!B246+1))</f>
        <v>44578</v>
      </c>
      <c r="D246" s="45" t="str">
        <f t="shared" si="114"/>
        <v/>
      </c>
      <c r="E246" s="8">
        <f t="shared" si="115"/>
        <v>1</v>
      </c>
      <c r="F246" s="8">
        <f t="shared" si="120"/>
        <v>6</v>
      </c>
      <c r="G246" s="8">
        <f>IF(B246="","",VLOOKUP(E246,Datenblatt!$L$2:$N$8,3,FALSE))</f>
        <v>0</v>
      </c>
      <c r="H246" s="8" t="str">
        <f t="shared" si="121"/>
        <v/>
      </c>
      <c r="I246" s="11" t="str">
        <f>IFERROR(VLOOKUP(B246,Datenblatt!$E:$F,2,FALSE),"")</f>
        <v/>
      </c>
      <c r="J246" s="113"/>
      <c r="K246" s="19">
        <f>IF(B246&lt;Datenblatt!$B$9,"",IF(B246="","",IF(G246=0,Datenblatt!$B$7,"")))</f>
        <v>6.67</v>
      </c>
      <c r="L246" s="19" t="str">
        <f t="shared" si="122"/>
        <v/>
      </c>
      <c r="M246" s="124" t="str">
        <f t="shared" si="123"/>
        <v/>
      </c>
      <c r="N246" s="124" t="str">
        <f>IF(AND(L246=Datenblatt!$B$7,NOT(L245=Datenblatt!$B$7),NOT(L247=Datenblatt!$B$7)),"y",IF(AND(L246=Datenblatt!$B$7,L247=Datenblatt!$B$7,NOT(L245=Datenblatt!$B$7)),"a",IF(AND(L246=Datenblatt!$B$7,L245=Datenblatt!$B$7,NOT(L247=Datenblatt!$B$7)),"b","")))</f>
        <v/>
      </c>
      <c r="O246" s="19" t="str">
        <f t="shared" si="124"/>
        <v/>
      </c>
      <c r="P246" s="124" t="str">
        <f>IF(AND(M246=Datenblatt!$B$7,NOT(M245=Datenblatt!$B$7),NOT(M247=Datenblatt!$B$7)),"y",IF(AND(M246=Datenblatt!$B$7,M247=Datenblatt!$B$7,NOT(M245=Datenblatt!$B$7)),"a",IF(AND(M246=Datenblatt!$B$7,M245=Datenblatt!$B$7,NOT(M247=Datenblatt!$B$7)),"b","")))</f>
        <v/>
      </c>
      <c r="Q246" s="19" t="str">
        <f t="shared" si="125"/>
        <v/>
      </c>
      <c r="R246" s="124" t="str">
        <f>IF(I246="","",IF(AND(OR(J246="Krankenstand",J246="Urlaub",J246=""), AND(G246=0,NOT(I246=""))),Datenblatt!$B$7,""))</f>
        <v/>
      </c>
      <c r="S246" s="19" t="str">
        <f>IF(OR(J246="Krankenstand",J246="Urlaub"),"",IF(J246="","",VLOOKUP(D246,Dienste!C:W,21,)))</f>
        <v/>
      </c>
      <c r="T246" s="18" t="str">
        <f>IF(OR(J246="Krankenstand",J246="Urlaub"),"",IF(J246="","",VLOOKUP(D246,Dienste!C:W,5,)))</f>
        <v/>
      </c>
      <c r="U246" s="18" t="str">
        <f>IF(OR(J246="Krankenstand",J246="Urlaub"),"",IF(J246="","",VLOOKUP(D246,Dienste!C:W,6,)))</f>
        <v/>
      </c>
      <c r="V246" s="18" t="str">
        <f>IF(OR(J246="Krankenstand",J246="Urlaub"),"",IF(J246="","",VLOOKUP(D246,Dienste!C:W,7,)))</f>
        <v/>
      </c>
      <c r="W246" s="18" t="str">
        <f>IF(OR(J246="Krankenstand",J246="Urlaub"),"",IF(J246="","",VLOOKUP(D246,Dienste!C:W,11,)))</f>
        <v/>
      </c>
      <c r="X246" s="18" t="str">
        <f>IF(OR(J246="Krankenstand",J246="Urlaub"),"",IF(J246="","",VLOOKUP(D246,Dienste!C:W,12,)))</f>
        <v/>
      </c>
      <c r="Y246" s="19" t="str">
        <f>IF(OR(J246="Krankenstand",J246="Urlaub"),"",IF(J246="","",VLOOKUP(D246,Dienste!C:W,14,)))</f>
        <v/>
      </c>
      <c r="Z246" s="20" t="str">
        <f>IF(OR(J246="Krankenstand",J246="Urlaub"),"",IF(J246="","",VLOOKUP(D246,Dienste!C:W,15,)))</f>
        <v/>
      </c>
      <c r="AA246" s="124" t="str">
        <f t="shared" si="116"/>
        <v/>
      </c>
      <c r="AB246" s="19" t="str">
        <f t="shared" si="117"/>
        <v/>
      </c>
      <c r="AC246" s="126" t="str">
        <f>_xlfn.CONCAT(_xlfn.CONCAT(IF(I246="","",_xlfn.CONCAT("FT: ",I246,IF(J246="","","; "))),IF(B246&lt;Datenblatt!$B$9,"",IF(B246="","",IF(NOT(J246=""),SUBSTITUTE(SUBSTITUTE(SUBSTITUTE(J246," mR","")," oR","")," O",""),"")))),IF(AF246="","",_xlfn.CONCAT(CHAR(10),"; ",AF246)))</f>
        <v/>
      </c>
      <c r="AD246" s="124" t="str">
        <f t="shared" si="126"/>
        <v/>
      </c>
      <c r="AE246" s="19">
        <f t="shared" si="118"/>
        <v>0</v>
      </c>
      <c r="AF246" s="156"/>
    </row>
    <row r="247" spans="2:32" s="9" customFormat="1" ht="13">
      <c r="B247" s="6">
        <f t="shared" si="119"/>
        <v>44752</v>
      </c>
      <c r="C247" s="45">
        <f>SMALL(Daten!W:W,COUNTIF(Daten!W:W,"&lt;"&amp;Stundenaufzeichnung!B247+1))</f>
        <v>44578</v>
      </c>
      <c r="D247" s="45" t="str">
        <f t="shared" si="114"/>
        <v/>
      </c>
      <c r="E247" s="8">
        <f t="shared" si="115"/>
        <v>2</v>
      </c>
      <c r="F247" s="8">
        <f t="shared" si="120"/>
        <v>7</v>
      </c>
      <c r="G247" s="8">
        <f>IF(B247="","",VLOOKUP(E247,Datenblatt!$L$2:$N$8,3,FALSE))</f>
        <v>1</v>
      </c>
      <c r="H247" s="8" t="str">
        <f t="shared" si="121"/>
        <v>x</v>
      </c>
      <c r="I247" s="11" t="str">
        <f>IFERROR(VLOOKUP(B247,Datenblatt!$E:$F,2,FALSE),"")</f>
        <v/>
      </c>
      <c r="J247" s="113"/>
      <c r="K247" s="19" t="str">
        <f>IF(B247&lt;Datenblatt!$B$9,"",IF(B247="","",IF(G247=0,Datenblatt!$B$7,"")))</f>
        <v/>
      </c>
      <c r="L247" s="19" t="str">
        <f t="shared" si="122"/>
        <v/>
      </c>
      <c r="M247" s="124" t="str">
        <f t="shared" si="123"/>
        <v/>
      </c>
      <c r="N247" s="124" t="str">
        <f>IF(AND(L247=Datenblatt!$B$7,NOT(L246=Datenblatt!$B$7),NOT(L248=Datenblatt!$B$7)),"y",IF(AND(L247=Datenblatt!$B$7,L248=Datenblatt!$B$7,NOT(L246=Datenblatt!$B$7)),"a",IF(AND(L247=Datenblatt!$B$7,L246=Datenblatt!$B$7,NOT(L248=Datenblatt!$B$7)),"b","")))</f>
        <v/>
      </c>
      <c r="O247" s="19" t="str">
        <f t="shared" si="124"/>
        <v/>
      </c>
      <c r="P247" s="124" t="str">
        <f>IF(AND(M247=Datenblatt!$B$7,NOT(M246=Datenblatt!$B$7),NOT(M248=Datenblatt!$B$7)),"y",IF(AND(M247=Datenblatt!$B$7,M248=Datenblatt!$B$7,NOT(M246=Datenblatt!$B$7)),"a",IF(AND(M247=Datenblatt!$B$7,M246=Datenblatt!$B$7,NOT(M248=Datenblatt!$B$7)),"b","")))</f>
        <v/>
      </c>
      <c r="Q247" s="19" t="str">
        <f t="shared" si="125"/>
        <v/>
      </c>
      <c r="R247" s="124" t="str">
        <f>IF(I247="","",IF(AND(OR(J247="Krankenstand",J247="Urlaub",J247=""), AND(G247=0,NOT(I247=""))),Datenblatt!$B$7,""))</f>
        <v/>
      </c>
      <c r="S247" s="19" t="str">
        <f>IF(OR(J247="Krankenstand",J247="Urlaub"),"",IF(J247="","",VLOOKUP(D247,Dienste!C:W,21,)))</f>
        <v/>
      </c>
      <c r="T247" s="18" t="str">
        <f>IF(OR(J247="Krankenstand",J247="Urlaub"),"",IF(J247="","",VLOOKUP(D247,Dienste!C:W,5,)))</f>
        <v/>
      </c>
      <c r="U247" s="18" t="str">
        <f>IF(OR(J247="Krankenstand",J247="Urlaub"),"",IF(J247="","",VLOOKUP(D247,Dienste!C:W,6,)))</f>
        <v/>
      </c>
      <c r="V247" s="18" t="str">
        <f>IF(OR(J247="Krankenstand",J247="Urlaub"),"",IF(J247="","",VLOOKUP(D247,Dienste!C:W,7,)))</f>
        <v/>
      </c>
      <c r="W247" s="18" t="str">
        <f>IF(OR(J247="Krankenstand",J247="Urlaub"),"",IF(J247="","",VLOOKUP(D247,Dienste!C:W,11,)))</f>
        <v/>
      </c>
      <c r="X247" s="18" t="str">
        <f>IF(OR(J247="Krankenstand",J247="Urlaub"),"",IF(J247="","",VLOOKUP(D247,Dienste!C:W,12,)))</f>
        <v/>
      </c>
      <c r="Y247" s="19" t="str">
        <f>IF(OR(J247="Krankenstand",J247="Urlaub"),"",IF(J247="","",VLOOKUP(D247,Dienste!C:W,14,)))</f>
        <v/>
      </c>
      <c r="Z247" s="20" t="str">
        <f>IF(OR(J247="Krankenstand",J247="Urlaub"),"",IF(J247="","",VLOOKUP(D247,Dienste!C:W,15,)))</f>
        <v/>
      </c>
      <c r="AA247" s="124" t="str">
        <f t="shared" si="116"/>
        <v/>
      </c>
      <c r="AB247" s="19" t="str">
        <f t="shared" si="117"/>
        <v/>
      </c>
      <c r="AC247" s="126" t="str">
        <f>_xlfn.CONCAT(_xlfn.CONCAT(IF(I247="","",_xlfn.CONCAT("FT: ",I247,IF(J247="","","; "))),IF(B247&lt;Datenblatt!$B$9,"",IF(B247="","",IF(NOT(J247=""),SUBSTITUTE(SUBSTITUTE(SUBSTITUTE(J247," mR","")," oR","")," O",""),"")))),IF(AF247="","",_xlfn.CONCAT(CHAR(10),"; ",AF247)))</f>
        <v/>
      </c>
      <c r="AD247" s="124" t="str">
        <f t="shared" si="126"/>
        <v/>
      </c>
      <c r="AE247" s="19">
        <f t="shared" si="118"/>
        <v>0</v>
      </c>
      <c r="AF247" s="156"/>
    </row>
    <row r="248" spans="2:32" s="9" customFormat="1" ht="13">
      <c r="B248" s="6">
        <f t="shared" si="119"/>
        <v>44753</v>
      </c>
      <c r="C248" s="45">
        <f>SMALL(Daten!W:W,COUNTIF(Daten!W:W,"&lt;"&amp;Stundenaufzeichnung!B248+1))</f>
        <v>44578</v>
      </c>
      <c r="D248" s="45" t="str">
        <f t="shared" si="114"/>
        <v/>
      </c>
      <c r="E248" s="8">
        <f t="shared" si="115"/>
        <v>3</v>
      </c>
      <c r="F248" s="8">
        <f t="shared" si="120"/>
        <v>1</v>
      </c>
      <c r="G248" s="8">
        <f>IF(B248="","",VLOOKUP(E248,Datenblatt!$L$2:$N$8,3,FALSE))</f>
        <v>0</v>
      </c>
      <c r="H248" s="8" t="str">
        <f t="shared" si="121"/>
        <v/>
      </c>
      <c r="I248" s="11" t="str">
        <f>IFERROR(VLOOKUP(B248,Datenblatt!$E:$F,2,FALSE),"")</f>
        <v/>
      </c>
      <c r="J248" s="113"/>
      <c r="K248" s="19">
        <f>IF(B248&lt;Datenblatt!$B$9,"",IF(B248="","",IF(G248=0,Datenblatt!$B$7,"")))</f>
        <v>6.67</v>
      </c>
      <c r="L248" s="19" t="str">
        <f t="shared" si="122"/>
        <v/>
      </c>
      <c r="M248" s="124" t="str">
        <f t="shared" si="123"/>
        <v/>
      </c>
      <c r="N248" s="124" t="str">
        <f>IF(AND(L248=Datenblatt!$B$7,NOT(L247=Datenblatt!$B$7),NOT(L249=Datenblatt!$B$7)),"y",IF(AND(L248=Datenblatt!$B$7,L249=Datenblatt!$B$7,NOT(L247=Datenblatt!$B$7)),"a",IF(AND(L248=Datenblatt!$B$7,L247=Datenblatt!$B$7,NOT(L249=Datenblatt!$B$7)),"b","")))</f>
        <v/>
      </c>
      <c r="O248" s="19" t="str">
        <f t="shared" si="124"/>
        <v/>
      </c>
      <c r="P248" s="124" t="str">
        <f>IF(AND(M248=Datenblatt!$B$7,NOT(M247=Datenblatt!$B$7),NOT(M249=Datenblatt!$B$7)),"y",IF(AND(M248=Datenblatt!$B$7,M249=Datenblatt!$B$7,NOT(M247=Datenblatt!$B$7)),"a",IF(AND(M248=Datenblatt!$B$7,M247=Datenblatt!$B$7,NOT(M249=Datenblatt!$B$7)),"b","")))</f>
        <v/>
      </c>
      <c r="Q248" s="19" t="str">
        <f t="shared" si="125"/>
        <v/>
      </c>
      <c r="R248" s="124" t="str">
        <f>IF(I248="","",IF(AND(OR(J248="Krankenstand",J248="Urlaub",J248=""), AND(G248=0,NOT(I248=""))),Datenblatt!$B$7,""))</f>
        <v/>
      </c>
      <c r="S248" s="19" t="str">
        <f>IF(OR(J248="Krankenstand",J248="Urlaub"),"",IF(J248="","",VLOOKUP(D248,Dienste!C:W,21,)))</f>
        <v/>
      </c>
      <c r="T248" s="18" t="str">
        <f>IF(OR(J248="Krankenstand",J248="Urlaub"),"",IF(J248="","",VLOOKUP(D248,Dienste!C:W,5,)))</f>
        <v/>
      </c>
      <c r="U248" s="18" t="str">
        <f>IF(OR(J248="Krankenstand",J248="Urlaub"),"",IF(J248="","",VLOOKUP(D248,Dienste!C:W,6,)))</f>
        <v/>
      </c>
      <c r="V248" s="18" t="str">
        <f>IF(OR(J248="Krankenstand",J248="Urlaub"),"",IF(J248="","",VLOOKUP(D248,Dienste!C:W,7,)))</f>
        <v/>
      </c>
      <c r="W248" s="18" t="str">
        <f>IF(OR(J248="Krankenstand",J248="Urlaub"),"",IF(J248="","",VLOOKUP(D248,Dienste!C:W,11,)))</f>
        <v/>
      </c>
      <c r="X248" s="18" t="str">
        <f>IF(OR(J248="Krankenstand",J248="Urlaub"),"",IF(J248="","",VLOOKUP(D248,Dienste!C:W,12,)))</f>
        <v/>
      </c>
      <c r="Y248" s="19" t="str">
        <f>IF(OR(J248="Krankenstand",J248="Urlaub"),"",IF(J248="","",VLOOKUP(D248,Dienste!C:W,14,)))</f>
        <v/>
      </c>
      <c r="Z248" s="20" t="str">
        <f>IF(OR(J248="Krankenstand",J248="Urlaub"),"",IF(J248="","",VLOOKUP(D248,Dienste!C:W,15,)))</f>
        <v/>
      </c>
      <c r="AA248" s="124" t="str">
        <f t="shared" si="116"/>
        <v/>
      </c>
      <c r="AB248" s="19" t="str">
        <f t="shared" si="117"/>
        <v/>
      </c>
      <c r="AC248" s="126" t="str">
        <f>_xlfn.CONCAT(_xlfn.CONCAT(IF(I248="","",_xlfn.CONCAT("FT: ",I248,IF(J248="","","; "))),IF(B248&lt;Datenblatt!$B$9,"",IF(B248="","",IF(NOT(J248=""),SUBSTITUTE(SUBSTITUTE(SUBSTITUTE(J248," mR","")," oR","")," O",""),"")))),IF(AF248="","",_xlfn.CONCAT(CHAR(10),"; ",AF248)))</f>
        <v/>
      </c>
      <c r="AD248" s="124" t="str">
        <f t="shared" si="126"/>
        <v/>
      </c>
      <c r="AE248" s="19">
        <f t="shared" si="118"/>
        <v>0</v>
      </c>
      <c r="AF248" s="156"/>
    </row>
    <row r="249" spans="2:32" s="9" customFormat="1" ht="13">
      <c r="B249" s="6">
        <f t="shared" si="119"/>
        <v>44754</v>
      </c>
      <c r="C249" s="45">
        <f>SMALL(Daten!W:W,COUNTIF(Daten!W:W,"&lt;"&amp;Stundenaufzeichnung!B249+1))</f>
        <v>44578</v>
      </c>
      <c r="D249" s="45" t="str">
        <f t="shared" si="114"/>
        <v/>
      </c>
      <c r="E249" s="8">
        <f t="shared" si="115"/>
        <v>4</v>
      </c>
      <c r="F249" s="8">
        <f t="shared" si="120"/>
        <v>2</v>
      </c>
      <c r="G249" s="8">
        <f>IF(B249="","",VLOOKUP(E249,Datenblatt!$L$2:$N$8,3,FALSE))</f>
        <v>0</v>
      </c>
      <c r="H249" s="8" t="str">
        <f t="shared" si="121"/>
        <v/>
      </c>
      <c r="I249" s="11" t="str">
        <f>IFERROR(VLOOKUP(B249,Datenblatt!$E:$F,2,FALSE),"")</f>
        <v/>
      </c>
      <c r="J249" s="113"/>
      <c r="K249" s="19">
        <f>IF(B249&lt;Datenblatt!$B$9,"",IF(B249="","",IF(G249=0,Datenblatt!$B$7,"")))</f>
        <v>6.67</v>
      </c>
      <c r="L249" s="19" t="str">
        <f t="shared" si="122"/>
        <v/>
      </c>
      <c r="M249" s="124" t="str">
        <f t="shared" si="123"/>
        <v/>
      </c>
      <c r="N249" s="124" t="str">
        <f>IF(AND(L249=Datenblatt!$B$7,NOT(L248=Datenblatt!$B$7),NOT(L250=Datenblatt!$B$7)),"y",IF(AND(L249=Datenblatt!$B$7,L250=Datenblatt!$B$7,NOT(L248=Datenblatt!$B$7)),"a",IF(AND(L249=Datenblatt!$B$7,L248=Datenblatt!$B$7,NOT(L250=Datenblatt!$B$7)),"b","")))</f>
        <v/>
      </c>
      <c r="O249" s="19" t="str">
        <f t="shared" si="124"/>
        <v/>
      </c>
      <c r="P249" s="124" t="str">
        <f>IF(AND(M249=Datenblatt!$B$7,NOT(M248=Datenblatt!$B$7),NOT(M250=Datenblatt!$B$7)),"y",IF(AND(M249=Datenblatt!$B$7,M250=Datenblatt!$B$7,NOT(M248=Datenblatt!$B$7)),"a",IF(AND(M249=Datenblatt!$B$7,M248=Datenblatt!$B$7,NOT(M250=Datenblatt!$B$7)),"b","")))</f>
        <v/>
      </c>
      <c r="Q249" s="19" t="str">
        <f t="shared" si="125"/>
        <v/>
      </c>
      <c r="R249" s="124" t="str">
        <f>IF(I249="","",IF(AND(OR(J249="Krankenstand",J249="Urlaub",J249=""), AND(G249=0,NOT(I249=""))),Datenblatt!$B$7,""))</f>
        <v/>
      </c>
      <c r="S249" s="19" t="str">
        <f>IF(OR(J249="Krankenstand",J249="Urlaub"),"",IF(J249="","",VLOOKUP(D249,Dienste!C:W,21,)))</f>
        <v/>
      </c>
      <c r="T249" s="18" t="str">
        <f>IF(OR(J249="Krankenstand",J249="Urlaub"),"",IF(J249="","",VLOOKUP(D249,Dienste!C:W,5,)))</f>
        <v/>
      </c>
      <c r="U249" s="18" t="str">
        <f>IF(OR(J249="Krankenstand",J249="Urlaub"),"",IF(J249="","",VLOOKUP(D249,Dienste!C:W,6,)))</f>
        <v/>
      </c>
      <c r="V249" s="18" t="str">
        <f>IF(OR(J249="Krankenstand",J249="Urlaub"),"",IF(J249="","",VLOOKUP(D249,Dienste!C:W,7,)))</f>
        <v/>
      </c>
      <c r="W249" s="18" t="str">
        <f>IF(OR(J249="Krankenstand",J249="Urlaub"),"",IF(J249="","",VLOOKUP(D249,Dienste!C:W,11,)))</f>
        <v/>
      </c>
      <c r="X249" s="18" t="str">
        <f>IF(OR(J249="Krankenstand",J249="Urlaub"),"",IF(J249="","",VLOOKUP(D249,Dienste!C:W,12,)))</f>
        <v/>
      </c>
      <c r="Y249" s="19" t="str">
        <f>IF(OR(J249="Krankenstand",J249="Urlaub"),"",IF(J249="","",VLOOKUP(D249,Dienste!C:W,14,)))</f>
        <v/>
      </c>
      <c r="Z249" s="20" t="str">
        <f>IF(OR(J249="Krankenstand",J249="Urlaub"),"",IF(J249="","",VLOOKUP(D249,Dienste!C:W,15,)))</f>
        <v/>
      </c>
      <c r="AA249" s="124" t="str">
        <f t="shared" si="116"/>
        <v/>
      </c>
      <c r="AB249" s="19" t="str">
        <f t="shared" si="117"/>
        <v/>
      </c>
      <c r="AC249" s="126" t="str">
        <f>_xlfn.CONCAT(_xlfn.CONCAT(IF(I249="","",_xlfn.CONCAT("FT: ",I249,IF(J249="","","; "))),IF(B249&lt;Datenblatt!$B$9,"",IF(B249="","",IF(NOT(J249=""),SUBSTITUTE(SUBSTITUTE(SUBSTITUTE(J249," mR","")," oR","")," O",""),"")))),IF(AF249="","",_xlfn.CONCAT(CHAR(10),"; ",AF249)))</f>
        <v/>
      </c>
      <c r="AD249" s="124" t="str">
        <f t="shared" si="126"/>
        <v/>
      </c>
      <c r="AE249" s="19">
        <f t="shared" si="118"/>
        <v>0</v>
      </c>
      <c r="AF249" s="156"/>
    </row>
    <row r="250" spans="2:32" s="9" customFormat="1" ht="13">
      <c r="B250" s="6">
        <f t="shared" si="119"/>
        <v>44755</v>
      </c>
      <c r="C250" s="45">
        <f>SMALL(Daten!W:W,COUNTIF(Daten!W:W,"&lt;"&amp;Stundenaufzeichnung!B250+1))</f>
        <v>44578</v>
      </c>
      <c r="D250" s="45" t="str">
        <f t="shared" si="114"/>
        <v/>
      </c>
      <c r="E250" s="8">
        <f t="shared" si="115"/>
        <v>5</v>
      </c>
      <c r="F250" s="8">
        <f t="shared" si="120"/>
        <v>3</v>
      </c>
      <c r="G250" s="8">
        <f>IF(B250="","",VLOOKUP(E250,Datenblatt!$L$2:$N$8,3,FALSE))</f>
        <v>0</v>
      </c>
      <c r="H250" s="8" t="str">
        <f t="shared" si="121"/>
        <v/>
      </c>
      <c r="I250" s="11" t="str">
        <f>IFERROR(VLOOKUP(B250,Datenblatt!$E:$F,2,FALSE),"")</f>
        <v/>
      </c>
      <c r="J250" s="113"/>
      <c r="K250" s="19">
        <f>IF(B250&lt;Datenblatt!$B$9,"",IF(B250="","",IF(G250=0,Datenblatt!$B$7,"")))</f>
        <v>6.67</v>
      </c>
      <c r="L250" s="19" t="str">
        <f t="shared" si="122"/>
        <v/>
      </c>
      <c r="M250" s="124" t="str">
        <f t="shared" si="123"/>
        <v/>
      </c>
      <c r="N250" s="124" t="str">
        <f>IF(AND(L250=Datenblatt!$B$7,NOT(L249=Datenblatt!$B$7),NOT(L251=Datenblatt!$B$7)),"y",IF(AND(L250=Datenblatt!$B$7,L251=Datenblatt!$B$7,NOT(L249=Datenblatt!$B$7)),"a",IF(AND(L250=Datenblatt!$B$7,L249=Datenblatt!$B$7,NOT(L251=Datenblatt!$B$7)),"b","")))</f>
        <v/>
      </c>
      <c r="O250" s="19" t="str">
        <f t="shared" si="124"/>
        <v/>
      </c>
      <c r="P250" s="124" t="str">
        <f>IF(AND(M250=Datenblatt!$B$7,NOT(M249=Datenblatt!$B$7),NOT(M251=Datenblatt!$B$7)),"y",IF(AND(M250=Datenblatt!$B$7,M251=Datenblatt!$B$7,NOT(M249=Datenblatt!$B$7)),"a",IF(AND(M250=Datenblatt!$B$7,M249=Datenblatt!$B$7,NOT(M251=Datenblatt!$B$7)),"b","")))</f>
        <v/>
      </c>
      <c r="Q250" s="19" t="str">
        <f t="shared" si="125"/>
        <v/>
      </c>
      <c r="R250" s="124" t="str">
        <f>IF(I250="","",IF(AND(OR(J250="Krankenstand",J250="Urlaub",J250=""), AND(G250=0,NOT(I250=""))),Datenblatt!$B$7,""))</f>
        <v/>
      </c>
      <c r="S250" s="19" t="str">
        <f>IF(OR(J250="Krankenstand",J250="Urlaub"),"",IF(J250="","",VLOOKUP(D250,Dienste!C:W,21,)))</f>
        <v/>
      </c>
      <c r="T250" s="18" t="str">
        <f>IF(OR(J250="Krankenstand",J250="Urlaub"),"",IF(J250="","",VLOOKUP(D250,Dienste!C:W,5,)))</f>
        <v/>
      </c>
      <c r="U250" s="18" t="str">
        <f>IF(OR(J250="Krankenstand",J250="Urlaub"),"",IF(J250="","",VLOOKUP(D250,Dienste!C:W,6,)))</f>
        <v/>
      </c>
      <c r="V250" s="18" t="str">
        <f>IF(OR(J250="Krankenstand",J250="Urlaub"),"",IF(J250="","",VLOOKUP(D250,Dienste!C:W,7,)))</f>
        <v/>
      </c>
      <c r="W250" s="18" t="str">
        <f>IF(OR(J250="Krankenstand",J250="Urlaub"),"",IF(J250="","",VLOOKUP(D250,Dienste!C:W,11,)))</f>
        <v/>
      </c>
      <c r="X250" s="18" t="str">
        <f>IF(OR(J250="Krankenstand",J250="Urlaub"),"",IF(J250="","",VLOOKUP(D250,Dienste!C:W,12,)))</f>
        <v/>
      </c>
      <c r="Y250" s="19" t="str">
        <f>IF(OR(J250="Krankenstand",J250="Urlaub"),"",IF(J250="","",VLOOKUP(D250,Dienste!C:W,14,)))</f>
        <v/>
      </c>
      <c r="Z250" s="20" t="str">
        <f>IF(OR(J250="Krankenstand",J250="Urlaub"),"",IF(J250="","",VLOOKUP(D250,Dienste!C:W,15,)))</f>
        <v/>
      </c>
      <c r="AA250" s="124" t="str">
        <f t="shared" si="116"/>
        <v/>
      </c>
      <c r="AB250" s="19" t="str">
        <f t="shared" si="117"/>
        <v/>
      </c>
      <c r="AC250" s="126" t="str">
        <f>_xlfn.CONCAT(_xlfn.CONCAT(IF(I250="","",_xlfn.CONCAT("FT: ",I250,IF(J250="","","; "))),IF(B250&lt;Datenblatt!$B$9,"",IF(B250="","",IF(NOT(J250=""),SUBSTITUTE(SUBSTITUTE(SUBSTITUTE(J250," mR","")," oR","")," O",""),"")))),IF(AF250="","",_xlfn.CONCAT(CHAR(10),"; ",AF250)))</f>
        <v/>
      </c>
      <c r="AD250" s="124" t="str">
        <f t="shared" si="126"/>
        <v/>
      </c>
      <c r="AE250" s="19">
        <f t="shared" si="118"/>
        <v>0</v>
      </c>
      <c r="AF250" s="156"/>
    </row>
    <row r="251" spans="2:32" s="9" customFormat="1" ht="13">
      <c r="B251" s="6">
        <f t="shared" si="119"/>
        <v>44756</v>
      </c>
      <c r="C251" s="45">
        <f>SMALL(Daten!W:W,COUNTIF(Daten!W:W,"&lt;"&amp;Stundenaufzeichnung!B251+1))</f>
        <v>44578</v>
      </c>
      <c r="D251" s="45" t="str">
        <f t="shared" si="114"/>
        <v/>
      </c>
      <c r="E251" s="8">
        <f t="shared" si="115"/>
        <v>6</v>
      </c>
      <c r="F251" s="8">
        <f t="shared" si="120"/>
        <v>4</v>
      </c>
      <c r="G251" s="8">
        <f>IF(B251="","",VLOOKUP(E251,Datenblatt!$L$2:$N$8,3,FALSE))</f>
        <v>0</v>
      </c>
      <c r="H251" s="8" t="str">
        <f t="shared" si="121"/>
        <v/>
      </c>
      <c r="I251" s="11" t="str">
        <f>IFERROR(VLOOKUP(B251,Datenblatt!$E:$F,2,FALSE),"")</f>
        <v/>
      </c>
      <c r="J251" s="113"/>
      <c r="K251" s="19">
        <f>IF(B251&lt;Datenblatt!$B$9,"",IF(B251="","",IF(G251=0,Datenblatt!$B$7,"")))</f>
        <v>6.67</v>
      </c>
      <c r="L251" s="19" t="str">
        <f t="shared" si="122"/>
        <v/>
      </c>
      <c r="M251" s="124" t="str">
        <f t="shared" si="123"/>
        <v/>
      </c>
      <c r="N251" s="124" t="str">
        <f>IF(AND(L251=Datenblatt!$B$7,NOT(L250=Datenblatt!$B$7),NOT(L252=Datenblatt!$B$7)),"y",IF(AND(L251=Datenblatt!$B$7,L252=Datenblatt!$B$7,NOT(L250=Datenblatt!$B$7)),"a",IF(AND(L251=Datenblatt!$B$7,L250=Datenblatt!$B$7,NOT(L252=Datenblatt!$B$7)),"b","")))</f>
        <v/>
      </c>
      <c r="O251" s="19" t="str">
        <f t="shared" si="124"/>
        <v/>
      </c>
      <c r="P251" s="124" t="str">
        <f>IF(AND(M251=Datenblatt!$B$7,NOT(M250=Datenblatt!$B$7),NOT(M252=Datenblatt!$B$7)),"y",IF(AND(M251=Datenblatt!$B$7,M252=Datenblatt!$B$7,NOT(M250=Datenblatt!$B$7)),"a",IF(AND(M251=Datenblatt!$B$7,M250=Datenblatt!$B$7,NOT(M252=Datenblatt!$B$7)),"b","")))</f>
        <v/>
      </c>
      <c r="Q251" s="19" t="str">
        <f t="shared" si="125"/>
        <v/>
      </c>
      <c r="R251" s="124" t="str">
        <f>IF(I251="","",IF(AND(OR(J251="Krankenstand",J251="Urlaub",J251=""), AND(G251=0,NOT(I251=""))),Datenblatt!$B$7,""))</f>
        <v/>
      </c>
      <c r="S251" s="19" t="str">
        <f>IF(OR(J251="Krankenstand",J251="Urlaub"),"",IF(J251="","",VLOOKUP(D251,Dienste!C:W,21,)))</f>
        <v/>
      </c>
      <c r="T251" s="18" t="str">
        <f>IF(OR(J251="Krankenstand",J251="Urlaub"),"",IF(J251="","",VLOOKUP(D251,Dienste!C:W,5,)))</f>
        <v/>
      </c>
      <c r="U251" s="18" t="str">
        <f>IF(OR(J251="Krankenstand",J251="Urlaub"),"",IF(J251="","",VLOOKUP(D251,Dienste!C:W,6,)))</f>
        <v/>
      </c>
      <c r="V251" s="18" t="str">
        <f>IF(OR(J251="Krankenstand",J251="Urlaub"),"",IF(J251="","",VLOOKUP(D251,Dienste!C:W,7,)))</f>
        <v/>
      </c>
      <c r="W251" s="18" t="str">
        <f>IF(OR(J251="Krankenstand",J251="Urlaub"),"",IF(J251="","",VLOOKUP(D251,Dienste!C:W,11,)))</f>
        <v/>
      </c>
      <c r="X251" s="18" t="str">
        <f>IF(OR(J251="Krankenstand",J251="Urlaub"),"",IF(J251="","",VLOOKUP(D251,Dienste!C:W,12,)))</f>
        <v/>
      </c>
      <c r="Y251" s="19" t="str">
        <f>IF(OR(J251="Krankenstand",J251="Urlaub"),"",IF(J251="","",VLOOKUP(D251,Dienste!C:W,14,)))</f>
        <v/>
      </c>
      <c r="Z251" s="20" t="str">
        <f>IF(OR(J251="Krankenstand",J251="Urlaub"),"",IF(J251="","",VLOOKUP(D251,Dienste!C:W,15,)))</f>
        <v/>
      </c>
      <c r="AA251" s="124" t="str">
        <f t="shared" si="116"/>
        <v/>
      </c>
      <c r="AB251" s="19" t="str">
        <f t="shared" si="117"/>
        <v/>
      </c>
      <c r="AC251" s="126" t="str">
        <f>_xlfn.CONCAT(_xlfn.CONCAT(IF(I251="","",_xlfn.CONCAT("FT: ",I251,IF(J251="","","; "))),IF(B251&lt;Datenblatt!$B$9,"",IF(B251="","",IF(NOT(J251=""),SUBSTITUTE(SUBSTITUTE(SUBSTITUTE(J251," mR","")," oR","")," O",""),"")))),IF(AF251="","",_xlfn.CONCAT(CHAR(10),"; ",AF251)))</f>
        <v/>
      </c>
      <c r="AD251" s="124" t="str">
        <f t="shared" si="126"/>
        <v/>
      </c>
      <c r="AE251" s="19">
        <f t="shared" si="118"/>
        <v>0</v>
      </c>
      <c r="AF251" s="156"/>
    </row>
    <row r="252" spans="2:32" s="9" customFormat="1" ht="13">
      <c r="B252" s="6">
        <f t="shared" si="119"/>
        <v>44757</v>
      </c>
      <c r="C252" s="45">
        <f>SMALL(Daten!W:W,COUNTIF(Daten!W:W,"&lt;"&amp;Stundenaufzeichnung!B252+1))</f>
        <v>44578</v>
      </c>
      <c r="D252" s="45" t="str">
        <f t="shared" si="114"/>
        <v/>
      </c>
      <c r="E252" s="8">
        <f t="shared" si="115"/>
        <v>7</v>
      </c>
      <c r="F252" s="8">
        <f t="shared" si="120"/>
        <v>5</v>
      </c>
      <c r="G252" s="8">
        <f>IF(B252="","",VLOOKUP(E252,Datenblatt!$L$2:$N$8,3,FALSE))</f>
        <v>0</v>
      </c>
      <c r="H252" s="8" t="str">
        <f t="shared" si="121"/>
        <v/>
      </c>
      <c r="I252" s="11" t="str">
        <f>IFERROR(VLOOKUP(B252,Datenblatt!$E:$F,2,FALSE),"")</f>
        <v/>
      </c>
      <c r="J252" s="113"/>
      <c r="K252" s="19">
        <f>IF(B252&lt;Datenblatt!$B$9,"",IF(B252="","",IF(G252=0,Datenblatt!$B$7,"")))</f>
        <v>6.67</v>
      </c>
      <c r="L252" s="19" t="str">
        <f t="shared" si="122"/>
        <v/>
      </c>
      <c r="M252" s="124" t="str">
        <f t="shared" si="123"/>
        <v/>
      </c>
      <c r="N252" s="124" t="str">
        <f>IF(AND(L252=Datenblatt!$B$7,NOT(L251=Datenblatt!$B$7),NOT(L253=Datenblatt!$B$7)),"y",IF(AND(L252=Datenblatt!$B$7,L253=Datenblatt!$B$7,NOT(L251=Datenblatt!$B$7)),"a",IF(AND(L252=Datenblatt!$B$7,L251=Datenblatt!$B$7,NOT(L253=Datenblatt!$B$7)),"b","")))</f>
        <v/>
      </c>
      <c r="O252" s="19" t="str">
        <f t="shared" si="124"/>
        <v/>
      </c>
      <c r="P252" s="124" t="str">
        <f>IF(AND(M252=Datenblatt!$B$7,NOT(M251=Datenblatt!$B$7),NOT(M253=Datenblatt!$B$7)),"y",IF(AND(M252=Datenblatt!$B$7,M253=Datenblatt!$B$7,NOT(M251=Datenblatt!$B$7)),"a",IF(AND(M252=Datenblatt!$B$7,M251=Datenblatt!$B$7,NOT(M253=Datenblatt!$B$7)),"b","")))</f>
        <v/>
      </c>
      <c r="Q252" s="19" t="str">
        <f t="shared" si="125"/>
        <v/>
      </c>
      <c r="R252" s="124" t="str">
        <f>IF(I252="","",IF(AND(OR(J252="Krankenstand",J252="Urlaub",J252=""), AND(G252=0,NOT(I252=""))),Datenblatt!$B$7,""))</f>
        <v/>
      </c>
      <c r="S252" s="19" t="str">
        <f>IF(OR(J252="Krankenstand",J252="Urlaub"),"",IF(J252="","",VLOOKUP(D252,Dienste!C:W,21,)))</f>
        <v/>
      </c>
      <c r="T252" s="18" t="str">
        <f>IF(OR(J252="Krankenstand",J252="Urlaub"),"",IF(J252="","",VLOOKUP(D252,Dienste!C:W,5,)))</f>
        <v/>
      </c>
      <c r="U252" s="18" t="str">
        <f>IF(OR(J252="Krankenstand",J252="Urlaub"),"",IF(J252="","",VLOOKUP(D252,Dienste!C:W,6,)))</f>
        <v/>
      </c>
      <c r="V252" s="18" t="str">
        <f>IF(OR(J252="Krankenstand",J252="Urlaub"),"",IF(J252="","",VLOOKUP(D252,Dienste!C:W,7,)))</f>
        <v/>
      </c>
      <c r="W252" s="18" t="str">
        <f>IF(OR(J252="Krankenstand",J252="Urlaub"),"",IF(J252="","",VLOOKUP(D252,Dienste!C:W,11,)))</f>
        <v/>
      </c>
      <c r="X252" s="18" t="str">
        <f>IF(OR(J252="Krankenstand",J252="Urlaub"),"",IF(J252="","",VLOOKUP(D252,Dienste!C:W,12,)))</f>
        <v/>
      </c>
      <c r="Y252" s="19" t="str">
        <f>IF(OR(J252="Krankenstand",J252="Urlaub"),"",IF(J252="","",VLOOKUP(D252,Dienste!C:W,14,)))</f>
        <v/>
      </c>
      <c r="Z252" s="20" t="str">
        <f>IF(OR(J252="Krankenstand",J252="Urlaub"),"",IF(J252="","",VLOOKUP(D252,Dienste!C:W,15,)))</f>
        <v/>
      </c>
      <c r="AA252" s="124" t="str">
        <f t="shared" si="116"/>
        <v/>
      </c>
      <c r="AB252" s="19" t="str">
        <f t="shared" si="117"/>
        <v/>
      </c>
      <c r="AC252" s="126" t="str">
        <f>_xlfn.CONCAT(_xlfn.CONCAT(IF(I252="","",_xlfn.CONCAT("FT: ",I252,IF(J252="","","; "))),IF(B252&lt;Datenblatt!$B$9,"",IF(B252="","",IF(NOT(J252=""),SUBSTITUTE(SUBSTITUTE(SUBSTITUTE(J252," mR","")," oR","")," O",""),"")))),IF(AF252="","",_xlfn.CONCAT(CHAR(10),"; ",AF252)))</f>
        <v/>
      </c>
      <c r="AD252" s="124" t="str">
        <f t="shared" si="126"/>
        <v/>
      </c>
      <c r="AE252" s="19">
        <f t="shared" si="118"/>
        <v>0</v>
      </c>
      <c r="AF252" s="156"/>
    </row>
    <row r="253" spans="2:32" s="9" customFormat="1" ht="13">
      <c r="B253" s="6">
        <f t="shared" si="119"/>
        <v>44758</v>
      </c>
      <c r="C253" s="45">
        <f>SMALL(Daten!W:W,COUNTIF(Daten!W:W,"&lt;"&amp;Stundenaufzeichnung!B253+1))</f>
        <v>44578</v>
      </c>
      <c r="D253" s="45" t="str">
        <f t="shared" si="114"/>
        <v/>
      </c>
      <c r="E253" s="8">
        <f t="shared" si="115"/>
        <v>1</v>
      </c>
      <c r="F253" s="8">
        <f t="shared" si="120"/>
        <v>6</v>
      </c>
      <c r="G253" s="8">
        <f>IF(B253="","",VLOOKUP(E253,Datenblatt!$L$2:$N$8,3,FALSE))</f>
        <v>0</v>
      </c>
      <c r="H253" s="8" t="str">
        <f t="shared" si="121"/>
        <v/>
      </c>
      <c r="I253" s="11" t="str">
        <f>IFERROR(VLOOKUP(B253,Datenblatt!$E:$F,2,FALSE),"")</f>
        <v/>
      </c>
      <c r="J253" s="113"/>
      <c r="K253" s="19">
        <f>IF(B253&lt;Datenblatt!$B$9,"",IF(B253="","",IF(G253=0,Datenblatt!$B$7,"")))</f>
        <v>6.67</v>
      </c>
      <c r="L253" s="19" t="str">
        <f t="shared" si="122"/>
        <v/>
      </c>
      <c r="M253" s="124" t="str">
        <f t="shared" si="123"/>
        <v/>
      </c>
      <c r="N253" s="124" t="str">
        <f>IF(AND(L253=Datenblatt!$B$7,NOT(L252=Datenblatt!$B$7),NOT(L254=Datenblatt!$B$7)),"y",IF(AND(L253=Datenblatt!$B$7,L254=Datenblatt!$B$7,NOT(L252=Datenblatt!$B$7)),"a",IF(AND(L253=Datenblatt!$B$7,L252=Datenblatt!$B$7,NOT(L254=Datenblatt!$B$7)),"b","")))</f>
        <v/>
      </c>
      <c r="O253" s="19" t="str">
        <f t="shared" si="124"/>
        <v/>
      </c>
      <c r="P253" s="124" t="str">
        <f>IF(AND(M253=Datenblatt!$B$7,NOT(M252=Datenblatt!$B$7),NOT(M254=Datenblatt!$B$7)),"y",IF(AND(M253=Datenblatt!$B$7,M254=Datenblatt!$B$7,NOT(M252=Datenblatt!$B$7)),"a",IF(AND(M253=Datenblatt!$B$7,M252=Datenblatt!$B$7,NOT(M254=Datenblatt!$B$7)),"b","")))</f>
        <v/>
      </c>
      <c r="Q253" s="19" t="str">
        <f t="shared" si="125"/>
        <v/>
      </c>
      <c r="R253" s="124" t="str">
        <f>IF(I253="","",IF(AND(OR(J253="Krankenstand",J253="Urlaub",J253=""), AND(G253=0,NOT(I253=""))),Datenblatt!$B$7,""))</f>
        <v/>
      </c>
      <c r="S253" s="19" t="str">
        <f>IF(OR(J253="Krankenstand",J253="Urlaub"),"",IF(J253="","",VLOOKUP(D253,Dienste!C:W,21,)))</f>
        <v/>
      </c>
      <c r="T253" s="18" t="str">
        <f>IF(OR(J253="Krankenstand",J253="Urlaub"),"",IF(J253="","",VLOOKUP(D253,Dienste!C:W,5,)))</f>
        <v/>
      </c>
      <c r="U253" s="18" t="str">
        <f>IF(OR(J253="Krankenstand",J253="Urlaub"),"",IF(J253="","",VLOOKUP(D253,Dienste!C:W,6,)))</f>
        <v/>
      </c>
      <c r="V253" s="18" t="str">
        <f>IF(OR(J253="Krankenstand",J253="Urlaub"),"",IF(J253="","",VLOOKUP(D253,Dienste!C:W,7,)))</f>
        <v/>
      </c>
      <c r="W253" s="18" t="str">
        <f>IF(OR(J253="Krankenstand",J253="Urlaub"),"",IF(J253="","",VLOOKUP(D253,Dienste!C:W,11,)))</f>
        <v/>
      </c>
      <c r="X253" s="18" t="str">
        <f>IF(OR(J253="Krankenstand",J253="Urlaub"),"",IF(J253="","",VLOOKUP(D253,Dienste!C:W,12,)))</f>
        <v/>
      </c>
      <c r="Y253" s="19" t="str">
        <f>IF(OR(J253="Krankenstand",J253="Urlaub"),"",IF(J253="","",VLOOKUP(D253,Dienste!C:W,14,)))</f>
        <v/>
      </c>
      <c r="Z253" s="20" t="str">
        <f>IF(OR(J253="Krankenstand",J253="Urlaub"),"",IF(J253="","",VLOOKUP(D253,Dienste!C:W,15,)))</f>
        <v/>
      </c>
      <c r="AA253" s="124" t="str">
        <f t="shared" si="116"/>
        <v/>
      </c>
      <c r="AB253" s="19" t="str">
        <f t="shared" si="117"/>
        <v/>
      </c>
      <c r="AC253" s="126" t="str">
        <f>_xlfn.CONCAT(_xlfn.CONCAT(IF(I253="","",_xlfn.CONCAT("FT: ",I253,IF(J253="","","; "))),IF(B253&lt;Datenblatt!$B$9,"",IF(B253="","",IF(NOT(J253=""),SUBSTITUTE(SUBSTITUTE(SUBSTITUTE(J253," mR","")," oR","")," O",""),"")))),IF(AF253="","",_xlfn.CONCAT(CHAR(10),"; ",AF253)))</f>
        <v/>
      </c>
      <c r="AD253" s="124" t="str">
        <f t="shared" si="126"/>
        <v/>
      </c>
      <c r="AE253" s="19">
        <f t="shared" si="118"/>
        <v>0</v>
      </c>
      <c r="AF253" s="156"/>
    </row>
    <row r="254" spans="2:32" s="9" customFormat="1" ht="13">
      <c r="B254" s="6">
        <f t="shared" si="119"/>
        <v>44759</v>
      </c>
      <c r="C254" s="45">
        <f>SMALL(Daten!W:W,COUNTIF(Daten!W:W,"&lt;"&amp;Stundenaufzeichnung!B254+1))</f>
        <v>44578</v>
      </c>
      <c r="D254" s="45" t="str">
        <f t="shared" si="114"/>
        <v/>
      </c>
      <c r="E254" s="8">
        <f t="shared" si="115"/>
        <v>2</v>
      </c>
      <c r="F254" s="8">
        <f t="shared" si="120"/>
        <v>7</v>
      </c>
      <c r="G254" s="8">
        <f>IF(B254="","",VLOOKUP(E254,Datenblatt!$L$2:$N$8,3,FALSE))</f>
        <v>1</v>
      </c>
      <c r="H254" s="8" t="str">
        <f t="shared" si="121"/>
        <v>x</v>
      </c>
      <c r="I254" s="11" t="str">
        <f>IFERROR(VLOOKUP(B254,Datenblatt!$E:$F,2,FALSE),"")</f>
        <v/>
      </c>
      <c r="J254" s="113"/>
      <c r="K254" s="19" t="str">
        <f>IF(B254&lt;Datenblatt!$B$9,"",IF(B254="","",IF(G254=0,Datenblatt!$B$7,"")))</f>
        <v/>
      </c>
      <c r="L254" s="19" t="str">
        <f t="shared" si="122"/>
        <v/>
      </c>
      <c r="M254" s="124" t="str">
        <f t="shared" si="123"/>
        <v/>
      </c>
      <c r="N254" s="124" t="str">
        <f>IF(AND(L254=Datenblatt!$B$7,NOT(L253=Datenblatt!$B$7),NOT(L255=Datenblatt!$B$7)),"y",IF(AND(L254=Datenblatt!$B$7,L255=Datenblatt!$B$7,NOT(L253=Datenblatt!$B$7)),"a",IF(AND(L254=Datenblatt!$B$7,L253=Datenblatt!$B$7,NOT(L255=Datenblatt!$B$7)),"b","")))</f>
        <v/>
      </c>
      <c r="O254" s="19" t="str">
        <f t="shared" si="124"/>
        <v/>
      </c>
      <c r="P254" s="124" t="str">
        <f>IF(AND(M254=Datenblatt!$B$7,NOT(M253=Datenblatt!$B$7),NOT(M255=Datenblatt!$B$7)),"y",IF(AND(M254=Datenblatt!$B$7,M255=Datenblatt!$B$7,NOT(M253=Datenblatt!$B$7)),"a",IF(AND(M254=Datenblatt!$B$7,M253=Datenblatt!$B$7,NOT(M255=Datenblatt!$B$7)),"b","")))</f>
        <v/>
      </c>
      <c r="Q254" s="19" t="str">
        <f t="shared" si="125"/>
        <v/>
      </c>
      <c r="R254" s="124" t="str">
        <f>IF(I254="","",IF(AND(OR(J254="Krankenstand",J254="Urlaub",J254=""), AND(G254=0,NOT(I254=""))),Datenblatt!$B$7,""))</f>
        <v/>
      </c>
      <c r="S254" s="19" t="str">
        <f>IF(OR(J254="Krankenstand",J254="Urlaub"),"",IF(J254="","",VLOOKUP(D254,Dienste!C:W,21,)))</f>
        <v/>
      </c>
      <c r="T254" s="18" t="str">
        <f>IF(OR(J254="Krankenstand",J254="Urlaub"),"",IF(J254="","",VLOOKUP(D254,Dienste!C:W,5,)))</f>
        <v/>
      </c>
      <c r="U254" s="18" t="str">
        <f>IF(OR(J254="Krankenstand",J254="Urlaub"),"",IF(J254="","",VLOOKUP(D254,Dienste!C:W,6,)))</f>
        <v/>
      </c>
      <c r="V254" s="18" t="str">
        <f>IF(OR(J254="Krankenstand",J254="Urlaub"),"",IF(J254="","",VLOOKUP(D254,Dienste!C:W,7,)))</f>
        <v/>
      </c>
      <c r="W254" s="18" t="str">
        <f>IF(OR(J254="Krankenstand",J254="Urlaub"),"",IF(J254="","",VLOOKUP(D254,Dienste!C:W,11,)))</f>
        <v/>
      </c>
      <c r="X254" s="18" t="str">
        <f>IF(OR(J254="Krankenstand",J254="Urlaub"),"",IF(J254="","",VLOOKUP(D254,Dienste!C:W,12,)))</f>
        <v/>
      </c>
      <c r="Y254" s="19" t="str">
        <f>IF(OR(J254="Krankenstand",J254="Urlaub"),"",IF(J254="","",VLOOKUP(D254,Dienste!C:W,14,)))</f>
        <v/>
      </c>
      <c r="Z254" s="20" t="str">
        <f>IF(OR(J254="Krankenstand",J254="Urlaub"),"",IF(J254="","",VLOOKUP(D254,Dienste!C:W,15,)))</f>
        <v/>
      </c>
      <c r="AA254" s="124" t="str">
        <f t="shared" si="116"/>
        <v/>
      </c>
      <c r="AB254" s="19" t="str">
        <f t="shared" si="117"/>
        <v/>
      </c>
      <c r="AC254" s="126" t="str">
        <f>_xlfn.CONCAT(_xlfn.CONCAT(IF(I254="","",_xlfn.CONCAT("FT: ",I254,IF(J254="","","; "))),IF(B254&lt;Datenblatt!$B$9,"",IF(B254="","",IF(NOT(J254=""),SUBSTITUTE(SUBSTITUTE(SUBSTITUTE(J254," mR","")," oR","")," O",""),"")))),IF(AF254="","",_xlfn.CONCAT(CHAR(10),"; ",AF254)))</f>
        <v/>
      </c>
      <c r="AD254" s="124" t="str">
        <f t="shared" si="126"/>
        <v/>
      </c>
      <c r="AE254" s="19">
        <f t="shared" si="118"/>
        <v>0</v>
      </c>
      <c r="AF254" s="156"/>
    </row>
    <row r="255" spans="2:32" s="9" customFormat="1" ht="13">
      <c r="B255" s="6">
        <f t="shared" si="119"/>
        <v>44760</v>
      </c>
      <c r="C255" s="45">
        <f>SMALL(Daten!W:W,COUNTIF(Daten!W:W,"&lt;"&amp;Stundenaufzeichnung!B255+1))</f>
        <v>44578</v>
      </c>
      <c r="D255" s="45" t="str">
        <f t="shared" si="114"/>
        <v/>
      </c>
      <c r="E255" s="8">
        <f t="shared" si="115"/>
        <v>3</v>
      </c>
      <c r="F255" s="8">
        <f t="shared" si="120"/>
        <v>1</v>
      </c>
      <c r="G255" s="8">
        <f>IF(B255="","",VLOOKUP(E255,Datenblatt!$L$2:$N$8,3,FALSE))</f>
        <v>0</v>
      </c>
      <c r="H255" s="8" t="str">
        <f t="shared" si="121"/>
        <v/>
      </c>
      <c r="I255" s="11" t="str">
        <f>IFERROR(VLOOKUP(B255,Datenblatt!$E:$F,2,FALSE),"")</f>
        <v/>
      </c>
      <c r="J255" s="113"/>
      <c r="K255" s="19">
        <f>IF(B255&lt;Datenblatt!$B$9,"",IF(B255="","",IF(G255=0,Datenblatt!$B$7,"")))</f>
        <v>6.67</v>
      </c>
      <c r="L255" s="19" t="str">
        <f t="shared" si="122"/>
        <v/>
      </c>
      <c r="M255" s="124" t="str">
        <f t="shared" si="123"/>
        <v/>
      </c>
      <c r="N255" s="124" t="str">
        <f>IF(AND(L255=Datenblatt!$B$7,NOT(L254=Datenblatt!$B$7),NOT(L256=Datenblatt!$B$7)),"y",IF(AND(L255=Datenblatt!$B$7,L256=Datenblatt!$B$7,NOT(L254=Datenblatt!$B$7)),"a",IF(AND(L255=Datenblatt!$B$7,L254=Datenblatt!$B$7,NOT(L256=Datenblatt!$B$7)),"b","")))</f>
        <v/>
      </c>
      <c r="O255" s="19" t="str">
        <f t="shared" si="124"/>
        <v/>
      </c>
      <c r="P255" s="124" t="str">
        <f>IF(AND(M255=Datenblatt!$B$7,NOT(M254=Datenblatt!$B$7),NOT(M256=Datenblatt!$B$7)),"y",IF(AND(M255=Datenblatt!$B$7,M256=Datenblatt!$B$7,NOT(M254=Datenblatt!$B$7)),"a",IF(AND(M255=Datenblatt!$B$7,M254=Datenblatt!$B$7,NOT(M256=Datenblatt!$B$7)),"b","")))</f>
        <v/>
      </c>
      <c r="Q255" s="19" t="str">
        <f t="shared" si="125"/>
        <v/>
      </c>
      <c r="R255" s="124" t="str">
        <f>IF(I255="","",IF(AND(OR(J255="Krankenstand",J255="Urlaub",J255=""), AND(G255=0,NOT(I255=""))),Datenblatt!$B$7,""))</f>
        <v/>
      </c>
      <c r="S255" s="19" t="str">
        <f>IF(OR(J255="Krankenstand",J255="Urlaub"),"",IF(J255="","",VLOOKUP(D255,Dienste!C:W,21,)))</f>
        <v/>
      </c>
      <c r="T255" s="18" t="str">
        <f>IF(OR(J255="Krankenstand",J255="Urlaub"),"",IF(J255="","",VLOOKUP(D255,Dienste!C:W,5,)))</f>
        <v/>
      </c>
      <c r="U255" s="18" t="str">
        <f>IF(OR(J255="Krankenstand",J255="Urlaub"),"",IF(J255="","",VLOOKUP(D255,Dienste!C:W,6,)))</f>
        <v/>
      </c>
      <c r="V255" s="18" t="str">
        <f>IF(OR(J255="Krankenstand",J255="Urlaub"),"",IF(J255="","",VLOOKUP(D255,Dienste!C:W,7,)))</f>
        <v/>
      </c>
      <c r="W255" s="18" t="str">
        <f>IF(OR(J255="Krankenstand",J255="Urlaub"),"",IF(J255="","",VLOOKUP(D255,Dienste!C:W,11,)))</f>
        <v/>
      </c>
      <c r="X255" s="18" t="str">
        <f>IF(OR(J255="Krankenstand",J255="Urlaub"),"",IF(J255="","",VLOOKUP(D255,Dienste!C:W,12,)))</f>
        <v/>
      </c>
      <c r="Y255" s="19" t="str">
        <f>IF(OR(J255="Krankenstand",J255="Urlaub"),"",IF(J255="","",VLOOKUP(D255,Dienste!C:W,14,)))</f>
        <v/>
      </c>
      <c r="Z255" s="20" t="str">
        <f>IF(OR(J255="Krankenstand",J255="Urlaub"),"",IF(J255="","",VLOOKUP(D255,Dienste!C:W,15,)))</f>
        <v/>
      </c>
      <c r="AA255" s="124" t="str">
        <f t="shared" si="116"/>
        <v/>
      </c>
      <c r="AB255" s="19" t="str">
        <f t="shared" si="117"/>
        <v/>
      </c>
      <c r="AC255" s="126" t="str">
        <f>_xlfn.CONCAT(_xlfn.CONCAT(IF(I255="","",_xlfn.CONCAT("FT: ",I255,IF(J255="","","; "))),IF(B255&lt;Datenblatt!$B$9,"",IF(B255="","",IF(NOT(J255=""),SUBSTITUTE(SUBSTITUTE(SUBSTITUTE(J255," mR","")," oR","")," O",""),"")))),IF(AF255="","",_xlfn.CONCAT(CHAR(10),"; ",AF255)))</f>
        <v/>
      </c>
      <c r="AD255" s="124" t="str">
        <f t="shared" si="126"/>
        <v/>
      </c>
      <c r="AE255" s="19">
        <f t="shared" si="118"/>
        <v>0</v>
      </c>
      <c r="AF255" s="156"/>
    </row>
    <row r="256" spans="2:32" s="9" customFormat="1" ht="13">
      <c r="B256" s="6">
        <f t="shared" si="119"/>
        <v>44761</v>
      </c>
      <c r="C256" s="45">
        <f>SMALL(Daten!W:W,COUNTIF(Daten!W:W,"&lt;"&amp;Stundenaufzeichnung!B256+1))</f>
        <v>44578</v>
      </c>
      <c r="D256" s="45" t="str">
        <f t="shared" si="114"/>
        <v/>
      </c>
      <c r="E256" s="8">
        <f t="shared" si="115"/>
        <v>4</v>
      </c>
      <c r="F256" s="8">
        <f t="shared" si="120"/>
        <v>2</v>
      </c>
      <c r="G256" s="8">
        <f>IF(B256="","",VLOOKUP(E256,Datenblatt!$L$2:$N$8,3,FALSE))</f>
        <v>0</v>
      </c>
      <c r="H256" s="8" t="str">
        <f t="shared" si="121"/>
        <v/>
      </c>
      <c r="I256" s="11" t="str">
        <f>IFERROR(VLOOKUP(B256,Datenblatt!$E:$F,2,FALSE),"")</f>
        <v/>
      </c>
      <c r="J256" s="113"/>
      <c r="K256" s="19">
        <f>IF(B256&lt;Datenblatt!$B$9,"",IF(B256="","",IF(G256=0,Datenblatt!$B$7,"")))</f>
        <v>6.67</v>
      </c>
      <c r="L256" s="19" t="str">
        <f t="shared" si="122"/>
        <v/>
      </c>
      <c r="M256" s="124" t="str">
        <f t="shared" si="123"/>
        <v/>
      </c>
      <c r="N256" s="124" t="str">
        <f>IF(AND(L256=Datenblatt!$B$7,NOT(L255=Datenblatt!$B$7),NOT(L257=Datenblatt!$B$7)),"y",IF(AND(L256=Datenblatt!$B$7,L257=Datenblatt!$B$7,NOT(L255=Datenblatt!$B$7)),"a",IF(AND(L256=Datenblatt!$B$7,L255=Datenblatt!$B$7,NOT(L257=Datenblatt!$B$7)),"b","")))</f>
        <v/>
      </c>
      <c r="O256" s="19" t="str">
        <f t="shared" si="124"/>
        <v/>
      </c>
      <c r="P256" s="124" t="str">
        <f>IF(AND(M256=Datenblatt!$B$7,NOT(M255=Datenblatt!$B$7),NOT(M257=Datenblatt!$B$7)),"y",IF(AND(M256=Datenblatt!$B$7,M257=Datenblatt!$B$7,NOT(M255=Datenblatt!$B$7)),"a",IF(AND(M256=Datenblatt!$B$7,M255=Datenblatt!$B$7,NOT(M257=Datenblatt!$B$7)),"b","")))</f>
        <v/>
      </c>
      <c r="Q256" s="19" t="str">
        <f t="shared" si="125"/>
        <v/>
      </c>
      <c r="R256" s="124" t="str">
        <f>IF(I256="","",IF(AND(OR(J256="Krankenstand",J256="Urlaub",J256=""), AND(G256=0,NOT(I256=""))),Datenblatt!$B$7,""))</f>
        <v/>
      </c>
      <c r="S256" s="19" t="str">
        <f>IF(OR(J256="Krankenstand",J256="Urlaub"),"",IF(J256="","",VLOOKUP(D256,Dienste!C:W,21,)))</f>
        <v/>
      </c>
      <c r="T256" s="18" t="str">
        <f>IF(OR(J256="Krankenstand",J256="Urlaub"),"",IF(J256="","",VLOOKUP(D256,Dienste!C:W,5,)))</f>
        <v/>
      </c>
      <c r="U256" s="18" t="str">
        <f>IF(OR(J256="Krankenstand",J256="Urlaub"),"",IF(J256="","",VLOOKUP(D256,Dienste!C:W,6,)))</f>
        <v/>
      </c>
      <c r="V256" s="18" t="str">
        <f>IF(OR(J256="Krankenstand",J256="Urlaub"),"",IF(J256="","",VLOOKUP(D256,Dienste!C:W,7,)))</f>
        <v/>
      </c>
      <c r="W256" s="18" t="str">
        <f>IF(OR(J256="Krankenstand",J256="Urlaub"),"",IF(J256="","",VLOOKUP(D256,Dienste!C:W,11,)))</f>
        <v/>
      </c>
      <c r="X256" s="18" t="str">
        <f>IF(OR(J256="Krankenstand",J256="Urlaub"),"",IF(J256="","",VLOOKUP(D256,Dienste!C:W,12,)))</f>
        <v/>
      </c>
      <c r="Y256" s="19" t="str">
        <f>IF(OR(J256="Krankenstand",J256="Urlaub"),"",IF(J256="","",VLOOKUP(D256,Dienste!C:W,14,)))</f>
        <v/>
      </c>
      <c r="Z256" s="20" t="str">
        <f>IF(OR(J256="Krankenstand",J256="Urlaub"),"",IF(J256="","",VLOOKUP(D256,Dienste!C:W,15,)))</f>
        <v/>
      </c>
      <c r="AA256" s="124" t="str">
        <f t="shared" si="116"/>
        <v/>
      </c>
      <c r="AB256" s="19" t="str">
        <f t="shared" si="117"/>
        <v/>
      </c>
      <c r="AC256" s="126" t="str">
        <f>_xlfn.CONCAT(_xlfn.CONCAT(IF(I256="","",_xlfn.CONCAT("FT: ",I256,IF(J256="","","; "))),IF(B256&lt;Datenblatt!$B$9,"",IF(B256="","",IF(NOT(J256=""),SUBSTITUTE(SUBSTITUTE(SUBSTITUTE(J256," mR","")," oR","")," O",""),"")))),IF(AF256="","",_xlfn.CONCAT(CHAR(10),"; ",AF256)))</f>
        <v/>
      </c>
      <c r="AD256" s="124" t="str">
        <f t="shared" si="126"/>
        <v/>
      </c>
      <c r="AE256" s="19">
        <f t="shared" si="118"/>
        <v>0</v>
      </c>
      <c r="AF256" s="156"/>
    </row>
    <row r="257" spans="1:32" s="9" customFormat="1" ht="13">
      <c r="B257" s="6">
        <f t="shared" si="119"/>
        <v>44762</v>
      </c>
      <c r="C257" s="45">
        <f>SMALL(Daten!W:W,COUNTIF(Daten!W:W,"&lt;"&amp;Stundenaufzeichnung!B257+1))</f>
        <v>44578</v>
      </c>
      <c r="D257" s="45" t="str">
        <f t="shared" si="114"/>
        <v/>
      </c>
      <c r="E257" s="8">
        <f t="shared" si="115"/>
        <v>5</v>
      </c>
      <c r="F257" s="8">
        <f t="shared" si="120"/>
        <v>3</v>
      </c>
      <c r="G257" s="8">
        <f>IF(B257="","",VLOOKUP(E257,Datenblatt!$L$2:$N$8,3,FALSE))</f>
        <v>0</v>
      </c>
      <c r="H257" s="8" t="str">
        <f t="shared" si="121"/>
        <v/>
      </c>
      <c r="I257" s="11" t="str">
        <f>IFERROR(VLOOKUP(B257,Datenblatt!$E:$F,2,FALSE),"")</f>
        <v/>
      </c>
      <c r="J257" s="113"/>
      <c r="K257" s="19">
        <f>IF(B257&lt;Datenblatt!$B$9,"",IF(B257="","",IF(G257=0,Datenblatt!$B$7,"")))</f>
        <v>6.67</v>
      </c>
      <c r="L257" s="19" t="str">
        <f t="shared" si="122"/>
        <v/>
      </c>
      <c r="M257" s="124" t="str">
        <f t="shared" si="123"/>
        <v/>
      </c>
      <c r="N257" s="124" t="str">
        <f>IF(AND(L257=Datenblatt!$B$7,NOT(L256=Datenblatt!$B$7),NOT(L258=Datenblatt!$B$7)),"y",IF(AND(L257=Datenblatt!$B$7,L258=Datenblatt!$B$7,NOT(L256=Datenblatt!$B$7)),"a",IF(AND(L257=Datenblatt!$B$7,L256=Datenblatt!$B$7,NOT(L258=Datenblatt!$B$7)),"b","")))</f>
        <v/>
      </c>
      <c r="O257" s="19" t="str">
        <f t="shared" si="124"/>
        <v/>
      </c>
      <c r="P257" s="124" t="str">
        <f>IF(AND(M257=Datenblatt!$B$7,NOT(M256=Datenblatt!$B$7),NOT(M258=Datenblatt!$B$7)),"y",IF(AND(M257=Datenblatt!$B$7,M258=Datenblatt!$B$7,NOT(M256=Datenblatt!$B$7)),"a",IF(AND(M257=Datenblatt!$B$7,M256=Datenblatt!$B$7,NOT(M258=Datenblatt!$B$7)),"b","")))</f>
        <v/>
      </c>
      <c r="Q257" s="19" t="str">
        <f t="shared" si="125"/>
        <v/>
      </c>
      <c r="R257" s="124" t="str">
        <f>IF(I257="","",IF(AND(OR(J257="Krankenstand",J257="Urlaub",J257=""), AND(G257=0,NOT(I257=""))),Datenblatt!$B$7,""))</f>
        <v/>
      </c>
      <c r="S257" s="19" t="str">
        <f>IF(OR(J257="Krankenstand",J257="Urlaub"),"",IF(J257="","",VLOOKUP(D257,Dienste!C:W,21,)))</f>
        <v/>
      </c>
      <c r="T257" s="18" t="str">
        <f>IF(OR(J257="Krankenstand",J257="Urlaub"),"",IF(J257="","",VLOOKUP(D257,Dienste!C:W,5,)))</f>
        <v/>
      </c>
      <c r="U257" s="18" t="str">
        <f>IF(OR(J257="Krankenstand",J257="Urlaub"),"",IF(J257="","",VLOOKUP(D257,Dienste!C:W,6,)))</f>
        <v/>
      </c>
      <c r="V257" s="18" t="str">
        <f>IF(OR(J257="Krankenstand",J257="Urlaub"),"",IF(J257="","",VLOOKUP(D257,Dienste!C:W,7,)))</f>
        <v/>
      </c>
      <c r="W257" s="18" t="str">
        <f>IF(OR(J257="Krankenstand",J257="Urlaub"),"",IF(J257="","",VLOOKUP(D257,Dienste!C:W,11,)))</f>
        <v/>
      </c>
      <c r="X257" s="18" t="str">
        <f>IF(OR(J257="Krankenstand",J257="Urlaub"),"",IF(J257="","",VLOOKUP(D257,Dienste!C:W,12,)))</f>
        <v/>
      </c>
      <c r="Y257" s="19" t="str">
        <f>IF(OR(J257="Krankenstand",J257="Urlaub"),"",IF(J257="","",VLOOKUP(D257,Dienste!C:W,14,)))</f>
        <v/>
      </c>
      <c r="Z257" s="20" t="str">
        <f>IF(OR(J257="Krankenstand",J257="Urlaub"),"",IF(J257="","",VLOOKUP(D257,Dienste!C:W,15,)))</f>
        <v/>
      </c>
      <c r="AA257" s="124" t="str">
        <f t="shared" si="116"/>
        <v/>
      </c>
      <c r="AB257" s="19" t="str">
        <f t="shared" si="117"/>
        <v/>
      </c>
      <c r="AC257" s="126" t="str">
        <f>_xlfn.CONCAT(_xlfn.CONCAT(IF(I257="","",_xlfn.CONCAT("FT: ",I257,IF(J257="","","; "))),IF(B257&lt;Datenblatt!$B$9,"",IF(B257="","",IF(NOT(J257=""),SUBSTITUTE(SUBSTITUTE(SUBSTITUTE(J257," mR","")," oR","")," O",""),"")))),IF(AF257="","",_xlfn.CONCAT(CHAR(10),"; ",AF257)))</f>
        <v/>
      </c>
      <c r="AD257" s="124" t="str">
        <f t="shared" si="126"/>
        <v/>
      </c>
      <c r="AE257" s="19">
        <f t="shared" si="118"/>
        <v>0</v>
      </c>
      <c r="AF257" s="156"/>
    </row>
    <row r="258" spans="1:32" s="9" customFormat="1" ht="13">
      <c r="B258" s="6">
        <f t="shared" si="119"/>
        <v>44763</v>
      </c>
      <c r="C258" s="45">
        <f>SMALL(Daten!W:W,COUNTIF(Daten!W:W,"&lt;"&amp;Stundenaufzeichnung!B258+1))</f>
        <v>44578</v>
      </c>
      <c r="D258" s="45" t="str">
        <f t="shared" si="114"/>
        <v/>
      </c>
      <c r="E258" s="8">
        <f t="shared" si="115"/>
        <v>6</v>
      </c>
      <c r="F258" s="8">
        <f t="shared" si="120"/>
        <v>4</v>
      </c>
      <c r="G258" s="8">
        <f>IF(B258="","",VLOOKUP(E258,Datenblatt!$L$2:$N$8,3,FALSE))</f>
        <v>0</v>
      </c>
      <c r="H258" s="8" t="str">
        <f t="shared" si="121"/>
        <v/>
      </c>
      <c r="I258" s="11" t="str">
        <f>IFERROR(VLOOKUP(B258,Datenblatt!$E:$F,2,FALSE),"")</f>
        <v/>
      </c>
      <c r="J258" s="113"/>
      <c r="K258" s="19">
        <f>IF(B258&lt;Datenblatt!$B$9,"",IF(B258="","",IF(G258=0,Datenblatt!$B$7,"")))</f>
        <v>6.67</v>
      </c>
      <c r="L258" s="19" t="str">
        <f t="shared" si="122"/>
        <v/>
      </c>
      <c r="M258" s="124" t="str">
        <f t="shared" si="123"/>
        <v/>
      </c>
      <c r="N258" s="124" t="str">
        <f>IF(AND(L258=Datenblatt!$B$7,NOT(L257=Datenblatt!$B$7),NOT(L259=Datenblatt!$B$7)),"y",IF(AND(L258=Datenblatt!$B$7,L259=Datenblatt!$B$7,NOT(L257=Datenblatt!$B$7)),"a",IF(AND(L258=Datenblatt!$B$7,L257=Datenblatt!$B$7,NOT(L259=Datenblatt!$B$7)),"b","")))</f>
        <v/>
      </c>
      <c r="O258" s="19" t="str">
        <f t="shared" si="124"/>
        <v/>
      </c>
      <c r="P258" s="124" t="str">
        <f>IF(AND(M258=Datenblatt!$B$7,NOT(M257=Datenblatt!$B$7),NOT(M259=Datenblatt!$B$7)),"y",IF(AND(M258=Datenblatt!$B$7,M259=Datenblatt!$B$7,NOT(M257=Datenblatt!$B$7)),"a",IF(AND(M258=Datenblatt!$B$7,M257=Datenblatt!$B$7,NOT(M259=Datenblatt!$B$7)),"b","")))</f>
        <v/>
      </c>
      <c r="Q258" s="19" t="str">
        <f t="shared" si="125"/>
        <v/>
      </c>
      <c r="R258" s="124" t="str">
        <f>IF(I258="","",IF(AND(OR(J258="Krankenstand",J258="Urlaub",J258=""), AND(G258=0,NOT(I258=""))),Datenblatt!$B$7,""))</f>
        <v/>
      </c>
      <c r="S258" s="19" t="str">
        <f>IF(OR(J258="Krankenstand",J258="Urlaub"),"",IF(J258="","",VLOOKUP(D258,Dienste!C:W,21,)))</f>
        <v/>
      </c>
      <c r="T258" s="18" t="str">
        <f>IF(OR(J258="Krankenstand",J258="Urlaub"),"",IF(J258="","",VLOOKUP(D258,Dienste!C:W,5,)))</f>
        <v/>
      </c>
      <c r="U258" s="18" t="str">
        <f>IF(OR(J258="Krankenstand",J258="Urlaub"),"",IF(J258="","",VLOOKUP(D258,Dienste!C:W,6,)))</f>
        <v/>
      </c>
      <c r="V258" s="18" t="str">
        <f>IF(OR(J258="Krankenstand",J258="Urlaub"),"",IF(J258="","",VLOOKUP(D258,Dienste!C:W,7,)))</f>
        <v/>
      </c>
      <c r="W258" s="18" t="str">
        <f>IF(OR(J258="Krankenstand",J258="Urlaub"),"",IF(J258="","",VLOOKUP(D258,Dienste!C:W,11,)))</f>
        <v/>
      </c>
      <c r="X258" s="18" t="str">
        <f>IF(OR(J258="Krankenstand",J258="Urlaub"),"",IF(J258="","",VLOOKUP(D258,Dienste!C:W,12,)))</f>
        <v/>
      </c>
      <c r="Y258" s="19" t="str">
        <f>IF(OR(J258="Krankenstand",J258="Urlaub"),"",IF(J258="","",VLOOKUP(D258,Dienste!C:W,14,)))</f>
        <v/>
      </c>
      <c r="Z258" s="20" t="str">
        <f>IF(OR(J258="Krankenstand",J258="Urlaub"),"",IF(J258="","",VLOOKUP(D258,Dienste!C:W,15,)))</f>
        <v/>
      </c>
      <c r="AA258" s="124" t="str">
        <f t="shared" si="116"/>
        <v/>
      </c>
      <c r="AB258" s="19" t="str">
        <f t="shared" si="117"/>
        <v/>
      </c>
      <c r="AC258" s="126" t="str">
        <f>_xlfn.CONCAT(_xlfn.CONCAT(IF(I258="","",_xlfn.CONCAT("FT: ",I258,IF(J258="","","; "))),IF(B258&lt;Datenblatt!$B$9,"",IF(B258="","",IF(NOT(J258=""),SUBSTITUTE(SUBSTITUTE(SUBSTITUTE(J258," mR","")," oR","")," O",""),"")))),IF(AF258="","",_xlfn.CONCAT(CHAR(10),"; ",AF258)))</f>
        <v/>
      </c>
      <c r="AD258" s="124" t="str">
        <f t="shared" si="126"/>
        <v/>
      </c>
      <c r="AE258" s="19">
        <f t="shared" si="118"/>
        <v>0</v>
      </c>
      <c r="AF258" s="156"/>
    </row>
    <row r="259" spans="1:32" s="9" customFormat="1" ht="13">
      <c r="B259" s="6">
        <f t="shared" si="119"/>
        <v>44764</v>
      </c>
      <c r="C259" s="45">
        <f>SMALL(Daten!W:W,COUNTIF(Daten!W:W,"&lt;"&amp;Stundenaufzeichnung!B259+1))</f>
        <v>44578</v>
      </c>
      <c r="D259" s="45" t="str">
        <f t="shared" si="114"/>
        <v/>
      </c>
      <c r="E259" s="8">
        <f t="shared" si="115"/>
        <v>7</v>
      </c>
      <c r="F259" s="8">
        <f t="shared" si="120"/>
        <v>5</v>
      </c>
      <c r="G259" s="8">
        <f>IF(B259="","",VLOOKUP(E259,Datenblatt!$L$2:$N$8,3,FALSE))</f>
        <v>0</v>
      </c>
      <c r="H259" s="8" t="str">
        <f t="shared" si="121"/>
        <v/>
      </c>
      <c r="I259" s="11" t="str">
        <f>IFERROR(VLOOKUP(B259,Datenblatt!$E:$F,2,FALSE),"")</f>
        <v/>
      </c>
      <c r="J259" s="113"/>
      <c r="K259" s="19">
        <f>IF(B259&lt;Datenblatt!$B$9,"",IF(B259="","",IF(G259=0,Datenblatt!$B$7,"")))</f>
        <v>6.67</v>
      </c>
      <c r="L259" s="19" t="str">
        <f t="shared" si="122"/>
        <v/>
      </c>
      <c r="M259" s="124" t="str">
        <f t="shared" si="123"/>
        <v/>
      </c>
      <c r="N259" s="124" t="str">
        <f>IF(AND(L259=Datenblatt!$B$7,NOT(L258=Datenblatt!$B$7),NOT(L260=Datenblatt!$B$7)),"y",IF(AND(L259=Datenblatt!$B$7,L260=Datenblatt!$B$7,NOT(L258=Datenblatt!$B$7)),"a",IF(AND(L259=Datenblatt!$B$7,L258=Datenblatt!$B$7,NOT(L260=Datenblatt!$B$7)),"b","")))</f>
        <v/>
      </c>
      <c r="O259" s="19" t="str">
        <f t="shared" si="124"/>
        <v/>
      </c>
      <c r="P259" s="124" t="str">
        <f>IF(AND(M259=Datenblatt!$B$7,NOT(M258=Datenblatt!$B$7),NOT(M260=Datenblatt!$B$7)),"y",IF(AND(M259=Datenblatt!$B$7,M260=Datenblatt!$B$7,NOT(M258=Datenblatt!$B$7)),"a",IF(AND(M259=Datenblatt!$B$7,M258=Datenblatt!$B$7,NOT(M260=Datenblatt!$B$7)),"b","")))</f>
        <v/>
      </c>
      <c r="Q259" s="19" t="str">
        <f t="shared" si="125"/>
        <v/>
      </c>
      <c r="R259" s="124" t="str">
        <f>IF(I259="","",IF(AND(OR(J259="Krankenstand",J259="Urlaub",J259=""), AND(G259=0,NOT(I259=""))),Datenblatt!$B$7,""))</f>
        <v/>
      </c>
      <c r="S259" s="19" t="str">
        <f>IF(OR(J259="Krankenstand",J259="Urlaub"),"",IF(J259="","",VLOOKUP(D259,Dienste!C:W,21,)))</f>
        <v/>
      </c>
      <c r="T259" s="18" t="str">
        <f>IF(OR(J259="Krankenstand",J259="Urlaub"),"",IF(J259="","",VLOOKUP(D259,Dienste!C:W,5,)))</f>
        <v/>
      </c>
      <c r="U259" s="18" t="str">
        <f>IF(OR(J259="Krankenstand",J259="Urlaub"),"",IF(J259="","",VLOOKUP(D259,Dienste!C:W,6,)))</f>
        <v/>
      </c>
      <c r="V259" s="18" t="str">
        <f>IF(OR(J259="Krankenstand",J259="Urlaub"),"",IF(J259="","",VLOOKUP(D259,Dienste!C:W,7,)))</f>
        <v/>
      </c>
      <c r="W259" s="18" t="str">
        <f>IF(OR(J259="Krankenstand",J259="Urlaub"),"",IF(J259="","",VLOOKUP(D259,Dienste!C:W,11,)))</f>
        <v/>
      </c>
      <c r="X259" s="18" t="str">
        <f>IF(OR(J259="Krankenstand",J259="Urlaub"),"",IF(J259="","",VLOOKUP(D259,Dienste!C:W,12,)))</f>
        <v/>
      </c>
      <c r="Y259" s="19" t="str">
        <f>IF(OR(J259="Krankenstand",J259="Urlaub"),"",IF(J259="","",VLOOKUP(D259,Dienste!C:W,14,)))</f>
        <v/>
      </c>
      <c r="Z259" s="20" t="str">
        <f>IF(OR(J259="Krankenstand",J259="Urlaub"),"",IF(J259="","",VLOOKUP(D259,Dienste!C:W,15,)))</f>
        <v/>
      </c>
      <c r="AA259" s="124" t="str">
        <f t="shared" si="116"/>
        <v/>
      </c>
      <c r="AB259" s="19" t="str">
        <f t="shared" si="117"/>
        <v/>
      </c>
      <c r="AC259" s="126" t="str">
        <f>_xlfn.CONCAT(_xlfn.CONCAT(IF(I259="","",_xlfn.CONCAT("FT: ",I259,IF(J259="","","; "))),IF(B259&lt;Datenblatt!$B$9,"",IF(B259="","",IF(NOT(J259=""),SUBSTITUTE(SUBSTITUTE(SUBSTITUTE(J259," mR","")," oR","")," O",""),"")))),IF(AF259="","",_xlfn.CONCAT(CHAR(10),"; ",AF259)))</f>
        <v/>
      </c>
      <c r="AD259" s="124" t="str">
        <f t="shared" si="126"/>
        <v/>
      </c>
      <c r="AE259" s="19">
        <f t="shared" si="118"/>
        <v>0</v>
      </c>
      <c r="AF259" s="156"/>
    </row>
    <row r="260" spans="1:32" s="9" customFormat="1" ht="13">
      <c r="B260" s="6">
        <f t="shared" si="119"/>
        <v>44765</v>
      </c>
      <c r="C260" s="45">
        <f>SMALL(Daten!W:W,COUNTIF(Daten!W:W,"&lt;"&amp;Stundenaufzeichnung!B260+1))</f>
        <v>44578</v>
      </c>
      <c r="D260" s="45" t="str">
        <f t="shared" si="114"/>
        <v/>
      </c>
      <c r="E260" s="8">
        <f t="shared" si="115"/>
        <v>1</v>
      </c>
      <c r="F260" s="8">
        <f t="shared" si="120"/>
        <v>6</v>
      </c>
      <c r="G260" s="8">
        <f>IF(B260="","",VLOOKUP(E260,Datenblatt!$L$2:$N$8,3,FALSE))</f>
        <v>0</v>
      </c>
      <c r="H260" s="8" t="str">
        <f t="shared" si="121"/>
        <v/>
      </c>
      <c r="I260" s="11" t="str">
        <f>IFERROR(VLOOKUP(B260,Datenblatt!$E:$F,2,FALSE),"")</f>
        <v/>
      </c>
      <c r="J260" s="113"/>
      <c r="K260" s="19">
        <f>IF(B260&lt;Datenblatt!$B$9,"",IF(B260="","",IF(G260=0,Datenblatt!$B$7,"")))</f>
        <v>6.67</v>
      </c>
      <c r="L260" s="19" t="str">
        <f t="shared" si="122"/>
        <v/>
      </c>
      <c r="M260" s="124" t="str">
        <f t="shared" si="123"/>
        <v/>
      </c>
      <c r="N260" s="124" t="str">
        <f>IF(AND(L260=Datenblatt!$B$7,NOT(L259=Datenblatt!$B$7),NOT(L261=Datenblatt!$B$7)),"y",IF(AND(L260=Datenblatt!$B$7,L261=Datenblatt!$B$7,NOT(L259=Datenblatt!$B$7)),"a",IF(AND(L260=Datenblatt!$B$7,L259=Datenblatt!$B$7,NOT(L261=Datenblatt!$B$7)),"b","")))</f>
        <v/>
      </c>
      <c r="O260" s="19" t="str">
        <f t="shared" si="124"/>
        <v/>
      </c>
      <c r="P260" s="124" t="str">
        <f>IF(AND(M260=Datenblatt!$B$7,NOT(M259=Datenblatt!$B$7),NOT(M261=Datenblatt!$B$7)),"y",IF(AND(M260=Datenblatt!$B$7,M261=Datenblatt!$B$7,NOT(M259=Datenblatt!$B$7)),"a",IF(AND(M260=Datenblatt!$B$7,M259=Datenblatt!$B$7,NOT(M261=Datenblatt!$B$7)),"b","")))</f>
        <v/>
      </c>
      <c r="Q260" s="19" t="str">
        <f t="shared" si="125"/>
        <v/>
      </c>
      <c r="R260" s="124" t="str">
        <f>IF(I260="","",IF(AND(OR(J260="Krankenstand",J260="Urlaub",J260=""), AND(G260=0,NOT(I260=""))),Datenblatt!$B$7,""))</f>
        <v/>
      </c>
      <c r="S260" s="19" t="str">
        <f>IF(OR(J260="Krankenstand",J260="Urlaub"),"",IF(J260="","",VLOOKUP(D260,Dienste!C:W,21,)))</f>
        <v/>
      </c>
      <c r="T260" s="18" t="str">
        <f>IF(OR(J260="Krankenstand",J260="Urlaub"),"",IF(J260="","",VLOOKUP(D260,Dienste!C:W,5,)))</f>
        <v/>
      </c>
      <c r="U260" s="18" t="str">
        <f>IF(OR(J260="Krankenstand",J260="Urlaub"),"",IF(J260="","",VLOOKUP(D260,Dienste!C:W,6,)))</f>
        <v/>
      </c>
      <c r="V260" s="18" t="str">
        <f>IF(OR(J260="Krankenstand",J260="Urlaub"),"",IF(J260="","",VLOOKUP(D260,Dienste!C:W,7,)))</f>
        <v/>
      </c>
      <c r="W260" s="18" t="str">
        <f>IF(OR(J260="Krankenstand",J260="Urlaub"),"",IF(J260="","",VLOOKUP(D260,Dienste!C:W,11,)))</f>
        <v/>
      </c>
      <c r="X260" s="18" t="str">
        <f>IF(OR(J260="Krankenstand",J260="Urlaub"),"",IF(J260="","",VLOOKUP(D260,Dienste!C:W,12,)))</f>
        <v/>
      </c>
      <c r="Y260" s="19" t="str">
        <f>IF(OR(J260="Krankenstand",J260="Urlaub"),"",IF(J260="","",VLOOKUP(D260,Dienste!C:W,14,)))</f>
        <v/>
      </c>
      <c r="Z260" s="20" t="str">
        <f>IF(OR(J260="Krankenstand",J260="Urlaub"),"",IF(J260="","",VLOOKUP(D260,Dienste!C:W,15,)))</f>
        <v/>
      </c>
      <c r="AA260" s="124" t="str">
        <f t="shared" si="116"/>
        <v/>
      </c>
      <c r="AB260" s="19" t="str">
        <f t="shared" si="117"/>
        <v/>
      </c>
      <c r="AC260" s="126" t="str">
        <f>_xlfn.CONCAT(_xlfn.CONCAT(IF(I260="","",_xlfn.CONCAT("FT: ",I260,IF(J260="","","; "))),IF(B260&lt;Datenblatt!$B$9,"",IF(B260="","",IF(NOT(J260=""),SUBSTITUTE(SUBSTITUTE(SUBSTITUTE(J260," mR","")," oR","")," O",""),"")))),IF(AF260="","",_xlfn.CONCAT(CHAR(10),"; ",AF260)))</f>
        <v/>
      </c>
      <c r="AD260" s="124" t="str">
        <f t="shared" si="126"/>
        <v/>
      </c>
      <c r="AE260" s="19">
        <f t="shared" si="118"/>
        <v>0</v>
      </c>
      <c r="AF260" s="156"/>
    </row>
    <row r="261" spans="1:32" s="9" customFormat="1" ht="13">
      <c r="B261" s="6">
        <f t="shared" si="119"/>
        <v>44766</v>
      </c>
      <c r="C261" s="45">
        <f>SMALL(Daten!W:W,COUNTIF(Daten!W:W,"&lt;"&amp;Stundenaufzeichnung!B261+1))</f>
        <v>44578</v>
      </c>
      <c r="D261" s="45" t="str">
        <f t="shared" si="114"/>
        <v/>
      </c>
      <c r="E261" s="8">
        <f t="shared" si="115"/>
        <v>2</v>
      </c>
      <c r="F261" s="8">
        <f t="shared" si="120"/>
        <v>7</v>
      </c>
      <c r="G261" s="8">
        <f>IF(B261="","",VLOOKUP(E261,Datenblatt!$L$2:$N$8,3,FALSE))</f>
        <v>1</v>
      </c>
      <c r="H261" s="8" t="str">
        <f t="shared" si="121"/>
        <v>x</v>
      </c>
      <c r="I261" s="11" t="str">
        <f>IFERROR(VLOOKUP(B261,Datenblatt!$E:$F,2,FALSE),"")</f>
        <v/>
      </c>
      <c r="J261" s="113"/>
      <c r="K261" s="19" t="str">
        <f>IF(B261&lt;Datenblatt!$B$9,"",IF(B261="","",IF(G261=0,Datenblatt!$B$7,"")))</f>
        <v/>
      </c>
      <c r="L261" s="19" t="str">
        <f t="shared" si="122"/>
        <v/>
      </c>
      <c r="M261" s="124" t="str">
        <f t="shared" si="123"/>
        <v/>
      </c>
      <c r="N261" s="124" t="str">
        <f>IF(AND(L261=Datenblatt!$B$7,NOT(L260=Datenblatt!$B$7),NOT(L262=Datenblatt!$B$7)),"y",IF(AND(L261=Datenblatt!$B$7,L262=Datenblatt!$B$7,NOT(L260=Datenblatt!$B$7)),"a",IF(AND(L261=Datenblatt!$B$7,L260=Datenblatt!$B$7,NOT(L262=Datenblatt!$B$7)),"b","")))</f>
        <v/>
      </c>
      <c r="O261" s="19" t="str">
        <f t="shared" si="124"/>
        <v/>
      </c>
      <c r="P261" s="124" t="str">
        <f>IF(AND(M261=Datenblatt!$B$7,NOT(M260=Datenblatt!$B$7),NOT(M262=Datenblatt!$B$7)),"y",IF(AND(M261=Datenblatt!$B$7,M262=Datenblatt!$B$7,NOT(M260=Datenblatt!$B$7)),"a",IF(AND(M261=Datenblatt!$B$7,M260=Datenblatt!$B$7,NOT(M262=Datenblatt!$B$7)),"b","")))</f>
        <v/>
      </c>
      <c r="Q261" s="19" t="str">
        <f t="shared" si="125"/>
        <v/>
      </c>
      <c r="R261" s="124" t="str">
        <f>IF(I261="","",IF(AND(OR(J261="Krankenstand",J261="Urlaub",J261=""), AND(G261=0,NOT(I261=""))),Datenblatt!$B$7,""))</f>
        <v/>
      </c>
      <c r="S261" s="19" t="str">
        <f>IF(OR(J261="Krankenstand",J261="Urlaub"),"",IF(J261="","",VLOOKUP(D261,Dienste!C:W,21,)))</f>
        <v/>
      </c>
      <c r="T261" s="18" t="str">
        <f>IF(OR(J261="Krankenstand",J261="Urlaub"),"",IF(J261="","",VLOOKUP(D261,Dienste!C:W,5,)))</f>
        <v/>
      </c>
      <c r="U261" s="18" t="str">
        <f>IF(OR(J261="Krankenstand",J261="Urlaub"),"",IF(J261="","",VLOOKUP(D261,Dienste!C:W,6,)))</f>
        <v/>
      </c>
      <c r="V261" s="18" t="str">
        <f>IF(OR(J261="Krankenstand",J261="Urlaub"),"",IF(J261="","",VLOOKUP(D261,Dienste!C:W,7,)))</f>
        <v/>
      </c>
      <c r="W261" s="18" t="str">
        <f>IF(OR(J261="Krankenstand",J261="Urlaub"),"",IF(J261="","",VLOOKUP(D261,Dienste!C:W,11,)))</f>
        <v/>
      </c>
      <c r="X261" s="18" t="str">
        <f>IF(OR(J261="Krankenstand",J261="Urlaub"),"",IF(J261="","",VLOOKUP(D261,Dienste!C:W,12,)))</f>
        <v/>
      </c>
      <c r="Y261" s="19" t="str">
        <f>IF(OR(J261="Krankenstand",J261="Urlaub"),"",IF(J261="","",VLOOKUP(D261,Dienste!C:W,14,)))</f>
        <v/>
      </c>
      <c r="Z261" s="20" t="str">
        <f>IF(OR(J261="Krankenstand",J261="Urlaub"),"",IF(J261="","",VLOOKUP(D261,Dienste!C:W,15,)))</f>
        <v/>
      </c>
      <c r="AA261" s="124" t="str">
        <f t="shared" si="116"/>
        <v/>
      </c>
      <c r="AB261" s="19" t="str">
        <f t="shared" si="117"/>
        <v/>
      </c>
      <c r="AC261" s="126" t="str">
        <f>_xlfn.CONCAT(_xlfn.CONCAT(IF(I261="","",_xlfn.CONCAT("FT: ",I261,IF(J261="","","; "))),IF(B261&lt;Datenblatt!$B$9,"",IF(B261="","",IF(NOT(J261=""),SUBSTITUTE(SUBSTITUTE(SUBSTITUTE(J261," mR","")," oR","")," O",""),"")))),IF(AF261="","",_xlfn.CONCAT(CHAR(10),"; ",AF261)))</f>
        <v/>
      </c>
      <c r="AD261" s="124" t="str">
        <f t="shared" si="126"/>
        <v/>
      </c>
      <c r="AE261" s="19">
        <f t="shared" si="118"/>
        <v>0</v>
      </c>
      <c r="AF261" s="156"/>
    </row>
    <row r="262" spans="1:32" s="9" customFormat="1" ht="13">
      <c r="B262" s="6">
        <f t="shared" si="119"/>
        <v>44767</v>
      </c>
      <c r="C262" s="45">
        <f>SMALL(Daten!W:W,COUNTIF(Daten!W:W,"&lt;"&amp;Stundenaufzeichnung!B262+1))</f>
        <v>44578</v>
      </c>
      <c r="D262" s="45" t="str">
        <f t="shared" si="114"/>
        <v/>
      </c>
      <c r="E262" s="8">
        <f t="shared" si="115"/>
        <v>3</v>
      </c>
      <c r="F262" s="8">
        <f t="shared" si="120"/>
        <v>1</v>
      </c>
      <c r="G262" s="8">
        <f>IF(B262="","",VLOOKUP(E262,Datenblatt!$L$2:$N$8,3,FALSE))</f>
        <v>0</v>
      </c>
      <c r="H262" s="8" t="str">
        <f t="shared" si="121"/>
        <v/>
      </c>
      <c r="I262" s="11" t="str">
        <f>IFERROR(VLOOKUP(B262,Datenblatt!$E:$F,2,FALSE),"")</f>
        <v/>
      </c>
      <c r="J262" s="113"/>
      <c r="K262" s="19">
        <f>IF(B262&lt;Datenblatt!$B$9,"",IF(B262="","",IF(G262=0,Datenblatt!$B$7,"")))</f>
        <v>6.67</v>
      </c>
      <c r="L262" s="19" t="str">
        <f t="shared" si="122"/>
        <v/>
      </c>
      <c r="M262" s="124" t="str">
        <f t="shared" si="123"/>
        <v/>
      </c>
      <c r="N262" s="124" t="str">
        <f>IF(AND(L262=Datenblatt!$B$7,NOT(L261=Datenblatt!$B$7),NOT(L263=Datenblatt!$B$7)),"y",IF(AND(L262=Datenblatt!$B$7,L263=Datenblatt!$B$7,NOT(L261=Datenblatt!$B$7)),"a",IF(AND(L262=Datenblatt!$B$7,L261=Datenblatt!$B$7,NOT(L263=Datenblatt!$B$7)),"b","")))</f>
        <v/>
      </c>
      <c r="O262" s="19" t="str">
        <f t="shared" si="124"/>
        <v/>
      </c>
      <c r="P262" s="124" t="str">
        <f>IF(AND(M262=Datenblatt!$B$7,NOT(M261=Datenblatt!$B$7),NOT(M263=Datenblatt!$B$7)),"y",IF(AND(M262=Datenblatt!$B$7,M263=Datenblatt!$B$7,NOT(M261=Datenblatt!$B$7)),"a",IF(AND(M262=Datenblatt!$B$7,M261=Datenblatt!$B$7,NOT(M263=Datenblatt!$B$7)),"b","")))</f>
        <v/>
      </c>
      <c r="Q262" s="19" t="str">
        <f t="shared" si="125"/>
        <v/>
      </c>
      <c r="R262" s="124" t="str">
        <f>IF(I262="","",IF(AND(OR(J262="Krankenstand",J262="Urlaub",J262=""), AND(G262=0,NOT(I262=""))),Datenblatt!$B$7,""))</f>
        <v/>
      </c>
      <c r="S262" s="19" t="str">
        <f>IF(OR(J262="Krankenstand",J262="Urlaub"),"",IF(J262="","",VLOOKUP(D262,Dienste!C:W,21,)))</f>
        <v/>
      </c>
      <c r="T262" s="18" t="str">
        <f>IF(OR(J262="Krankenstand",J262="Urlaub"),"",IF(J262="","",VLOOKUP(D262,Dienste!C:W,5,)))</f>
        <v/>
      </c>
      <c r="U262" s="18" t="str">
        <f>IF(OR(J262="Krankenstand",J262="Urlaub"),"",IF(J262="","",VLOOKUP(D262,Dienste!C:W,6,)))</f>
        <v/>
      </c>
      <c r="V262" s="18" t="str">
        <f>IF(OR(J262="Krankenstand",J262="Urlaub"),"",IF(J262="","",VLOOKUP(D262,Dienste!C:W,7,)))</f>
        <v/>
      </c>
      <c r="W262" s="18" t="str">
        <f>IF(OR(J262="Krankenstand",J262="Urlaub"),"",IF(J262="","",VLOOKUP(D262,Dienste!C:W,11,)))</f>
        <v/>
      </c>
      <c r="X262" s="18" t="str">
        <f>IF(OR(J262="Krankenstand",J262="Urlaub"),"",IF(J262="","",VLOOKUP(D262,Dienste!C:W,12,)))</f>
        <v/>
      </c>
      <c r="Y262" s="19" t="str">
        <f>IF(OR(J262="Krankenstand",J262="Urlaub"),"",IF(J262="","",VLOOKUP(D262,Dienste!C:W,14,)))</f>
        <v/>
      </c>
      <c r="Z262" s="20" t="str">
        <f>IF(OR(J262="Krankenstand",J262="Urlaub"),"",IF(J262="","",VLOOKUP(D262,Dienste!C:W,15,)))</f>
        <v/>
      </c>
      <c r="AA262" s="124" t="str">
        <f t="shared" si="116"/>
        <v/>
      </c>
      <c r="AB262" s="19" t="str">
        <f t="shared" si="117"/>
        <v/>
      </c>
      <c r="AC262" s="126" t="str">
        <f>_xlfn.CONCAT(_xlfn.CONCAT(IF(I262="","",_xlfn.CONCAT("FT: ",I262,IF(J262="","","; "))),IF(B262&lt;Datenblatt!$B$9,"",IF(B262="","",IF(NOT(J262=""),SUBSTITUTE(SUBSTITUTE(SUBSTITUTE(J262," mR","")," oR","")," O",""),"")))),IF(AF262="","",_xlfn.CONCAT(CHAR(10),"; ",AF262)))</f>
        <v/>
      </c>
      <c r="AD262" s="124" t="str">
        <f t="shared" si="126"/>
        <v/>
      </c>
      <c r="AE262" s="19">
        <f t="shared" si="118"/>
        <v>0</v>
      </c>
      <c r="AF262" s="156"/>
    </row>
    <row r="263" spans="1:32" s="9" customFormat="1" ht="13">
      <c r="B263" s="6">
        <f t="shared" si="119"/>
        <v>44768</v>
      </c>
      <c r="C263" s="45">
        <f>SMALL(Daten!W:W,COUNTIF(Daten!W:W,"&lt;"&amp;Stundenaufzeichnung!B263+1))</f>
        <v>44578</v>
      </c>
      <c r="D263" s="45" t="str">
        <f t="shared" si="114"/>
        <v/>
      </c>
      <c r="E263" s="8">
        <f t="shared" si="115"/>
        <v>4</v>
      </c>
      <c r="F263" s="8">
        <f t="shared" si="120"/>
        <v>2</v>
      </c>
      <c r="G263" s="8">
        <f>IF(B263="","",VLOOKUP(E263,Datenblatt!$L$2:$N$8,3,FALSE))</f>
        <v>0</v>
      </c>
      <c r="H263" s="8" t="str">
        <f t="shared" si="121"/>
        <v/>
      </c>
      <c r="I263" s="11" t="str">
        <f>IFERROR(VLOOKUP(B263,Datenblatt!$E:$F,2,FALSE),"")</f>
        <v/>
      </c>
      <c r="J263" s="113"/>
      <c r="K263" s="19">
        <f>IF(B263&lt;Datenblatt!$B$9,"",IF(B263="","",IF(G263=0,Datenblatt!$B$7,"")))</f>
        <v>6.67</v>
      </c>
      <c r="L263" s="19" t="str">
        <f t="shared" si="122"/>
        <v/>
      </c>
      <c r="M263" s="124" t="str">
        <f t="shared" si="123"/>
        <v/>
      </c>
      <c r="N263" s="124" t="str">
        <f>IF(AND(L263=Datenblatt!$B$7,NOT(L262=Datenblatt!$B$7),NOT(L264=Datenblatt!$B$7)),"y",IF(AND(L263=Datenblatt!$B$7,L264=Datenblatt!$B$7,NOT(L262=Datenblatt!$B$7)),"a",IF(AND(L263=Datenblatt!$B$7,L262=Datenblatt!$B$7,NOT(L264=Datenblatt!$B$7)),"b","")))</f>
        <v/>
      </c>
      <c r="O263" s="19" t="str">
        <f t="shared" si="124"/>
        <v/>
      </c>
      <c r="P263" s="124" t="str">
        <f>IF(AND(M263=Datenblatt!$B$7,NOT(M262=Datenblatt!$B$7),NOT(M264=Datenblatt!$B$7)),"y",IF(AND(M263=Datenblatt!$B$7,M264=Datenblatt!$B$7,NOT(M262=Datenblatt!$B$7)),"a",IF(AND(M263=Datenblatt!$B$7,M262=Datenblatt!$B$7,NOT(M264=Datenblatt!$B$7)),"b","")))</f>
        <v/>
      </c>
      <c r="Q263" s="19" t="str">
        <f t="shared" si="125"/>
        <v/>
      </c>
      <c r="R263" s="124" t="str">
        <f>IF(I263="","",IF(AND(OR(J263="Krankenstand",J263="Urlaub",J263=""), AND(G263=0,NOT(I263=""))),Datenblatt!$B$7,""))</f>
        <v/>
      </c>
      <c r="S263" s="19" t="str">
        <f>IF(OR(J263="Krankenstand",J263="Urlaub"),"",IF(J263="","",VLOOKUP(D263,Dienste!C:W,21,)))</f>
        <v/>
      </c>
      <c r="T263" s="18" t="str">
        <f>IF(OR(J263="Krankenstand",J263="Urlaub"),"",IF(J263="","",VLOOKUP(D263,Dienste!C:W,5,)))</f>
        <v/>
      </c>
      <c r="U263" s="18" t="str">
        <f>IF(OR(J263="Krankenstand",J263="Urlaub"),"",IF(J263="","",VLOOKUP(D263,Dienste!C:W,6,)))</f>
        <v/>
      </c>
      <c r="V263" s="18" t="str">
        <f>IF(OR(J263="Krankenstand",J263="Urlaub"),"",IF(J263="","",VLOOKUP(D263,Dienste!C:W,7,)))</f>
        <v/>
      </c>
      <c r="W263" s="18" t="str">
        <f>IF(OR(J263="Krankenstand",J263="Urlaub"),"",IF(J263="","",VLOOKUP(D263,Dienste!C:W,11,)))</f>
        <v/>
      </c>
      <c r="X263" s="18" t="str">
        <f>IF(OR(J263="Krankenstand",J263="Urlaub"),"",IF(J263="","",VLOOKUP(D263,Dienste!C:W,12,)))</f>
        <v/>
      </c>
      <c r="Y263" s="19" t="str">
        <f>IF(OR(J263="Krankenstand",J263="Urlaub"),"",IF(J263="","",VLOOKUP(D263,Dienste!C:W,14,)))</f>
        <v/>
      </c>
      <c r="Z263" s="20" t="str">
        <f>IF(OR(J263="Krankenstand",J263="Urlaub"),"",IF(J263="","",VLOOKUP(D263,Dienste!C:W,15,)))</f>
        <v/>
      </c>
      <c r="AA263" s="124" t="str">
        <f t="shared" si="116"/>
        <v/>
      </c>
      <c r="AB263" s="19" t="str">
        <f t="shared" si="117"/>
        <v/>
      </c>
      <c r="AC263" s="126" t="str">
        <f>_xlfn.CONCAT(_xlfn.CONCAT(IF(I263="","",_xlfn.CONCAT("FT: ",I263,IF(J263="","","; "))),IF(B263&lt;Datenblatt!$B$9,"",IF(B263="","",IF(NOT(J263=""),SUBSTITUTE(SUBSTITUTE(SUBSTITUTE(J263," mR","")," oR","")," O",""),"")))),IF(AF263="","",_xlfn.CONCAT(CHAR(10),"; ",AF263)))</f>
        <v/>
      </c>
      <c r="AD263" s="124" t="str">
        <f t="shared" si="126"/>
        <v/>
      </c>
      <c r="AE263" s="19">
        <f t="shared" si="118"/>
        <v>0</v>
      </c>
      <c r="AF263" s="156"/>
    </row>
    <row r="264" spans="1:32" s="9" customFormat="1" ht="13">
      <c r="B264" s="6">
        <f t="shared" si="119"/>
        <v>44769</v>
      </c>
      <c r="C264" s="45">
        <f>SMALL(Daten!W:W,COUNTIF(Daten!W:W,"&lt;"&amp;Stundenaufzeichnung!B264+1))</f>
        <v>44578</v>
      </c>
      <c r="D264" s="45" t="str">
        <f t="shared" si="114"/>
        <v/>
      </c>
      <c r="E264" s="8">
        <f t="shared" si="115"/>
        <v>5</v>
      </c>
      <c r="F264" s="8">
        <f t="shared" si="120"/>
        <v>3</v>
      </c>
      <c r="G264" s="8">
        <f>IF(B264="","",VLOOKUP(E264,Datenblatt!$L$2:$N$8,3,FALSE))</f>
        <v>0</v>
      </c>
      <c r="H264" s="8" t="str">
        <f t="shared" si="121"/>
        <v/>
      </c>
      <c r="I264" s="11" t="str">
        <f>IFERROR(VLOOKUP(B264,Datenblatt!$E:$F,2,FALSE),"")</f>
        <v/>
      </c>
      <c r="J264" s="113"/>
      <c r="K264" s="19">
        <f>IF(B264&lt;Datenblatt!$B$9,"",IF(B264="","",IF(G264=0,Datenblatt!$B$7,"")))</f>
        <v>6.67</v>
      </c>
      <c r="L264" s="19" t="str">
        <f t="shared" si="122"/>
        <v/>
      </c>
      <c r="M264" s="124" t="str">
        <f t="shared" si="123"/>
        <v/>
      </c>
      <c r="N264" s="124" t="str">
        <f>IF(AND(L264=Datenblatt!$B$7,NOT(L263=Datenblatt!$B$7),NOT(L265=Datenblatt!$B$7)),"y",IF(AND(L264=Datenblatt!$B$7,L265=Datenblatt!$B$7,NOT(L263=Datenblatt!$B$7)),"a",IF(AND(L264=Datenblatt!$B$7,L263=Datenblatt!$B$7,NOT(L265=Datenblatt!$B$7)),"b","")))</f>
        <v/>
      </c>
      <c r="O264" s="19" t="str">
        <f t="shared" si="124"/>
        <v/>
      </c>
      <c r="P264" s="124" t="str">
        <f>IF(AND(M264=Datenblatt!$B$7,NOT(M263=Datenblatt!$B$7),NOT(M265=Datenblatt!$B$7)),"y",IF(AND(M264=Datenblatt!$B$7,M265=Datenblatt!$B$7,NOT(M263=Datenblatt!$B$7)),"a",IF(AND(M264=Datenblatt!$B$7,M263=Datenblatt!$B$7,NOT(M265=Datenblatt!$B$7)),"b","")))</f>
        <v/>
      </c>
      <c r="Q264" s="19" t="str">
        <f t="shared" si="125"/>
        <v/>
      </c>
      <c r="R264" s="124" t="str">
        <f>IF(I264="","",IF(AND(OR(J264="Krankenstand",J264="Urlaub",J264=""), AND(G264=0,NOT(I264=""))),Datenblatt!$B$7,""))</f>
        <v/>
      </c>
      <c r="S264" s="19" t="str">
        <f>IF(OR(J264="Krankenstand",J264="Urlaub"),"",IF(J264="","",VLOOKUP(D264,Dienste!C:W,21,)))</f>
        <v/>
      </c>
      <c r="T264" s="18" t="str">
        <f>IF(OR(J264="Krankenstand",J264="Urlaub"),"",IF(J264="","",VLOOKUP(D264,Dienste!C:W,5,)))</f>
        <v/>
      </c>
      <c r="U264" s="18" t="str">
        <f>IF(OR(J264="Krankenstand",J264="Urlaub"),"",IF(J264="","",VLOOKUP(D264,Dienste!C:W,6,)))</f>
        <v/>
      </c>
      <c r="V264" s="18" t="str">
        <f>IF(OR(J264="Krankenstand",J264="Urlaub"),"",IF(J264="","",VLOOKUP(D264,Dienste!C:W,7,)))</f>
        <v/>
      </c>
      <c r="W264" s="18" t="str">
        <f>IF(OR(J264="Krankenstand",J264="Urlaub"),"",IF(J264="","",VLOOKUP(D264,Dienste!C:W,11,)))</f>
        <v/>
      </c>
      <c r="X264" s="18" t="str">
        <f>IF(OR(J264="Krankenstand",J264="Urlaub"),"",IF(J264="","",VLOOKUP(D264,Dienste!C:W,12,)))</f>
        <v/>
      </c>
      <c r="Y264" s="19" t="str">
        <f>IF(OR(J264="Krankenstand",J264="Urlaub"),"",IF(J264="","",VLOOKUP(D264,Dienste!C:W,14,)))</f>
        <v/>
      </c>
      <c r="Z264" s="20" t="str">
        <f>IF(OR(J264="Krankenstand",J264="Urlaub"),"",IF(J264="","",VLOOKUP(D264,Dienste!C:W,15,)))</f>
        <v/>
      </c>
      <c r="AA264" s="124" t="str">
        <f t="shared" si="116"/>
        <v/>
      </c>
      <c r="AB264" s="19" t="str">
        <f t="shared" si="117"/>
        <v/>
      </c>
      <c r="AC264" s="126" t="str">
        <f>_xlfn.CONCAT(_xlfn.CONCAT(IF(I264="","",_xlfn.CONCAT("FT: ",I264,IF(J264="","","; "))),IF(B264&lt;Datenblatt!$B$9,"",IF(B264="","",IF(NOT(J264=""),SUBSTITUTE(SUBSTITUTE(SUBSTITUTE(J264," mR","")," oR","")," O",""),"")))),IF(AF264="","",_xlfn.CONCAT(CHAR(10),"; ",AF264)))</f>
        <v/>
      </c>
      <c r="AD264" s="124" t="str">
        <f t="shared" si="126"/>
        <v/>
      </c>
      <c r="AE264" s="19">
        <f t="shared" si="118"/>
        <v>0</v>
      </c>
      <c r="AF264" s="156"/>
    </row>
    <row r="265" spans="1:32" s="9" customFormat="1" ht="13">
      <c r="B265" s="6">
        <f t="shared" si="119"/>
        <v>44770</v>
      </c>
      <c r="C265" s="45">
        <f>SMALL(Daten!W:W,COUNTIF(Daten!W:W,"&lt;"&amp;Stundenaufzeichnung!B265+1))</f>
        <v>44578</v>
      </c>
      <c r="D265" s="45" t="str">
        <f t="shared" si="114"/>
        <v/>
      </c>
      <c r="E265" s="8">
        <f t="shared" si="115"/>
        <v>6</v>
      </c>
      <c r="F265" s="8">
        <f t="shared" si="120"/>
        <v>4</v>
      </c>
      <c r="G265" s="8">
        <f>IF(B265="","",VLOOKUP(E265,Datenblatt!$L$2:$N$8,3,FALSE))</f>
        <v>0</v>
      </c>
      <c r="H265" s="8" t="str">
        <f t="shared" si="121"/>
        <v/>
      </c>
      <c r="I265" s="11" t="str">
        <f>IFERROR(VLOOKUP(B265,Datenblatt!$E:$F,2,FALSE),"")</f>
        <v/>
      </c>
      <c r="J265" s="113"/>
      <c r="K265" s="19">
        <f>IF(B265&lt;Datenblatt!$B$9,"",IF(B265="","",IF(G265=0,Datenblatt!$B$7,"")))</f>
        <v>6.67</v>
      </c>
      <c r="L265" s="19" t="str">
        <f t="shared" si="122"/>
        <v/>
      </c>
      <c r="M265" s="124" t="str">
        <f t="shared" si="123"/>
        <v/>
      </c>
      <c r="N265" s="124" t="str">
        <f>IF(AND(L265=Datenblatt!$B$7,NOT(L264=Datenblatt!$B$7),NOT(L266=Datenblatt!$B$7)),"y",IF(AND(L265=Datenblatt!$B$7,L266=Datenblatt!$B$7,NOT(L264=Datenblatt!$B$7)),"a",IF(AND(L265=Datenblatt!$B$7,L264=Datenblatt!$B$7,NOT(L266=Datenblatt!$B$7)),"b","")))</f>
        <v/>
      </c>
      <c r="O265" s="19" t="str">
        <f t="shared" si="124"/>
        <v/>
      </c>
      <c r="P265" s="124" t="str">
        <f>IF(AND(M265=Datenblatt!$B$7,NOT(M264=Datenblatt!$B$7),NOT(M266=Datenblatt!$B$7)),"y",IF(AND(M265=Datenblatt!$B$7,M266=Datenblatt!$B$7,NOT(M264=Datenblatt!$B$7)),"a",IF(AND(M265=Datenblatt!$B$7,M264=Datenblatt!$B$7,NOT(M266=Datenblatt!$B$7)),"b","")))</f>
        <v/>
      </c>
      <c r="Q265" s="19" t="str">
        <f t="shared" si="125"/>
        <v/>
      </c>
      <c r="R265" s="124" t="str">
        <f>IF(I265="","",IF(AND(OR(J265="Krankenstand",J265="Urlaub",J265=""), AND(G265=0,NOT(I265=""))),Datenblatt!$B$7,""))</f>
        <v/>
      </c>
      <c r="S265" s="19" t="str">
        <f>IF(OR(J265="Krankenstand",J265="Urlaub"),"",IF(J265="","",VLOOKUP(D265,Dienste!C:W,21,)))</f>
        <v/>
      </c>
      <c r="T265" s="18" t="str">
        <f>IF(OR(J265="Krankenstand",J265="Urlaub"),"",IF(J265="","",VLOOKUP(D265,Dienste!C:W,5,)))</f>
        <v/>
      </c>
      <c r="U265" s="18" t="str">
        <f>IF(OR(J265="Krankenstand",J265="Urlaub"),"",IF(J265="","",VLOOKUP(D265,Dienste!C:W,6,)))</f>
        <v/>
      </c>
      <c r="V265" s="18" t="str">
        <f>IF(OR(J265="Krankenstand",J265="Urlaub"),"",IF(J265="","",VLOOKUP(D265,Dienste!C:W,7,)))</f>
        <v/>
      </c>
      <c r="W265" s="18" t="str">
        <f>IF(OR(J265="Krankenstand",J265="Urlaub"),"",IF(J265="","",VLOOKUP(D265,Dienste!C:W,11,)))</f>
        <v/>
      </c>
      <c r="X265" s="18" t="str">
        <f>IF(OR(J265="Krankenstand",J265="Urlaub"),"",IF(J265="","",VLOOKUP(D265,Dienste!C:W,12,)))</f>
        <v/>
      </c>
      <c r="Y265" s="19" t="str">
        <f>IF(OR(J265="Krankenstand",J265="Urlaub"),"",IF(J265="","",VLOOKUP(D265,Dienste!C:W,14,)))</f>
        <v/>
      </c>
      <c r="Z265" s="20" t="str">
        <f>IF(OR(J265="Krankenstand",J265="Urlaub"),"",IF(J265="","",VLOOKUP(D265,Dienste!C:W,15,)))</f>
        <v/>
      </c>
      <c r="AA265" s="124" t="str">
        <f t="shared" si="116"/>
        <v/>
      </c>
      <c r="AB265" s="19" t="str">
        <f t="shared" si="117"/>
        <v/>
      </c>
      <c r="AC265" s="126" t="str">
        <f>_xlfn.CONCAT(_xlfn.CONCAT(IF(I265="","",_xlfn.CONCAT("FT: ",I265,IF(J265="","","; "))),IF(B265&lt;Datenblatt!$B$9,"",IF(B265="","",IF(NOT(J265=""),SUBSTITUTE(SUBSTITUTE(SUBSTITUTE(J265," mR","")," oR","")," O",""),"")))),IF(AF265="","",_xlfn.CONCAT(CHAR(10),"; ",AF265)))</f>
        <v/>
      </c>
      <c r="AD265" s="124" t="str">
        <f t="shared" si="126"/>
        <v/>
      </c>
      <c r="AE265" s="19">
        <f t="shared" si="118"/>
        <v>0</v>
      </c>
      <c r="AF265" s="156"/>
    </row>
    <row r="266" spans="1:32" s="9" customFormat="1" ht="13">
      <c r="B266" s="6">
        <f>IF(B265="","",IF(DAY(B265+1)&lt;29,"",B265+1))</f>
        <v>44771</v>
      </c>
      <c r="C266" s="45">
        <f>SMALL(Daten!W:W,COUNTIF(Daten!W:W,"&lt;"&amp;Stundenaufzeichnung!B266+1))</f>
        <v>44578</v>
      </c>
      <c r="D266" s="45" t="str">
        <f t="shared" si="114"/>
        <v/>
      </c>
      <c r="E266" s="8">
        <f t="shared" si="115"/>
        <v>7</v>
      </c>
      <c r="F266" s="8">
        <f>IF(B266="","",MOD(E266+$F$3,7)+1)</f>
        <v>5</v>
      </c>
      <c r="G266" s="8">
        <f>IF(B266="","",VLOOKUP(E266,Datenblatt!$L$2:$N$8,3,FALSE))</f>
        <v>0</v>
      </c>
      <c r="H266" s="8" t="str">
        <f t="shared" si="121"/>
        <v/>
      </c>
      <c r="I266" s="11" t="str">
        <f>IFERROR(VLOOKUP(B266,Datenblatt!$E:$F,2,FALSE),"")</f>
        <v/>
      </c>
      <c r="J266" s="113"/>
      <c r="K266" s="19">
        <f>IF(B266&lt;Datenblatt!$B$9,"",IF(B266="","",IF(G266=0,Datenblatt!$B$7,"")))</f>
        <v>6.67</v>
      </c>
      <c r="L266" s="19" t="str">
        <f t="shared" si="122"/>
        <v/>
      </c>
      <c r="M266" s="124" t="str">
        <f t="shared" si="123"/>
        <v/>
      </c>
      <c r="N266" s="124" t="str">
        <f>IF(AND(L266=Datenblatt!$B$7,NOT(L265=Datenblatt!$B$7),NOT(L267=Datenblatt!$B$7)),"y",IF(AND(L266=Datenblatt!$B$7,L267=Datenblatt!$B$7,NOT(L265=Datenblatt!$B$7)),"a",IF(AND(L266=Datenblatt!$B$7,L265=Datenblatt!$B$7,NOT(L267=Datenblatt!$B$7)),"b","")))</f>
        <v/>
      </c>
      <c r="O266" s="19" t="str">
        <f t="shared" si="124"/>
        <v/>
      </c>
      <c r="P266" s="124" t="str">
        <f>IF(AND(M266=Datenblatt!$B$7,NOT(M265=Datenblatt!$B$7),NOT(M267=Datenblatt!$B$7)),"y",IF(AND(M266=Datenblatt!$B$7,M267=Datenblatt!$B$7,NOT(M265=Datenblatt!$B$7)),"a",IF(AND(M266=Datenblatt!$B$7,M265=Datenblatt!$B$7,NOT(M267=Datenblatt!$B$7)),"b","")))</f>
        <v/>
      </c>
      <c r="Q266" s="19" t="str">
        <f t="shared" si="125"/>
        <v/>
      </c>
      <c r="R266" s="124" t="str">
        <f>IF(I266="","",IF(AND(OR(J266="Krankenstand",J266="Urlaub",J266=""), AND(G266=0,NOT(I266=""))),Datenblatt!$B$7,""))</f>
        <v/>
      </c>
      <c r="S266" s="19" t="str">
        <f>IF(OR(J266="Krankenstand",J266="Urlaub"),"",IF(J266="","",VLOOKUP(D266,Dienste!C:W,21,)))</f>
        <v/>
      </c>
      <c r="T266" s="18" t="str">
        <f>IF(OR(J266="Krankenstand",J266="Urlaub"),"",IF(J266="","",VLOOKUP(D266,Dienste!C:W,5,)))</f>
        <v/>
      </c>
      <c r="U266" s="18" t="str">
        <f>IF(OR(J266="Krankenstand",J266="Urlaub"),"",IF(J266="","",VLOOKUP(D266,Dienste!C:W,6,)))</f>
        <v/>
      </c>
      <c r="V266" s="18" t="str">
        <f>IF(OR(J266="Krankenstand",J266="Urlaub"),"",IF(J266="","",VLOOKUP(D266,Dienste!C:W,7,)))</f>
        <v/>
      </c>
      <c r="W266" s="18" t="str">
        <f>IF(OR(J266="Krankenstand",J266="Urlaub"),"",IF(J266="","",VLOOKUP(D266,Dienste!C:W,11,)))</f>
        <v/>
      </c>
      <c r="X266" s="18" t="str">
        <f>IF(OR(J266="Krankenstand",J266="Urlaub"),"",IF(J266="","",VLOOKUP(D266,Dienste!C:W,12,)))</f>
        <v/>
      </c>
      <c r="Y266" s="19" t="str">
        <f>IF(OR(J266="Krankenstand",J266="Urlaub"),"",IF(J266="","",VLOOKUP(D266,Dienste!C:W,14,)))</f>
        <v/>
      </c>
      <c r="Z266" s="20" t="str">
        <f>IF(OR(J266="Krankenstand",J266="Urlaub"),"",IF(J266="","",VLOOKUP(D266,Dienste!C:W,15,)))</f>
        <v/>
      </c>
      <c r="AA266" s="124" t="str">
        <f t="shared" si="116"/>
        <v/>
      </c>
      <c r="AB266" s="19" t="str">
        <f t="shared" si="117"/>
        <v/>
      </c>
      <c r="AC266" s="126" t="str">
        <f>_xlfn.CONCAT(_xlfn.CONCAT(IF(I266="","",_xlfn.CONCAT("FT: ",I266,IF(J266="","","; "))),IF(B266&lt;Datenblatt!$B$9,"",IF(B266="","",IF(NOT(J266=""),SUBSTITUTE(SUBSTITUTE(SUBSTITUTE(J266," mR","")," oR","")," O",""),"")))),IF(AF266="","",_xlfn.CONCAT(CHAR(10),"; ",AF266)))</f>
        <v/>
      </c>
      <c r="AD266" s="124" t="str">
        <f t="shared" si="126"/>
        <v/>
      </c>
      <c r="AE266" s="19">
        <f t="shared" si="118"/>
        <v>0</v>
      </c>
      <c r="AF266" s="156"/>
    </row>
    <row r="267" spans="1:32" s="9" customFormat="1" ht="13">
      <c r="B267" s="6">
        <f>IF(B266="","",IF(DAY(B266+1)&lt;30,"",B266+1))</f>
        <v>44772</v>
      </c>
      <c r="C267" s="45">
        <f>SMALL(Daten!W:W,COUNTIF(Daten!W:W,"&lt;"&amp;Stundenaufzeichnung!B267+1))</f>
        <v>44578</v>
      </c>
      <c r="D267" s="45" t="str">
        <f t="shared" si="114"/>
        <v/>
      </c>
      <c r="E267" s="8">
        <f t="shared" si="115"/>
        <v>1</v>
      </c>
      <c r="F267" s="8">
        <f>IF(B267="","",MOD(E267+$F$3,7)+1)</f>
        <v>6</v>
      </c>
      <c r="G267" s="8">
        <f>IF(B267="","",VLOOKUP(E267,Datenblatt!$L$2:$N$8,3,FALSE))</f>
        <v>0</v>
      </c>
      <c r="H267" s="8" t="str">
        <f t="shared" si="121"/>
        <v/>
      </c>
      <c r="I267" s="11" t="str">
        <f>IFERROR(VLOOKUP(B267,Datenblatt!$E:$F,2,FALSE),"")</f>
        <v/>
      </c>
      <c r="J267" s="113"/>
      <c r="K267" s="19">
        <f>IF(B267&lt;Datenblatt!$B$9,"",IF(B267="","",IF(G267=0,Datenblatt!$B$7,"")))</f>
        <v>6.67</v>
      </c>
      <c r="L267" s="19" t="str">
        <f t="shared" si="122"/>
        <v/>
      </c>
      <c r="M267" s="124" t="str">
        <f t="shared" si="123"/>
        <v/>
      </c>
      <c r="N267" s="124" t="str">
        <f>IF(AND(L267=Datenblatt!$B$7,NOT(L266=Datenblatt!$B$7),NOT(L268=Datenblatt!$B$7)),"y",IF(AND(L267=Datenblatt!$B$7,L268=Datenblatt!$B$7,NOT(L266=Datenblatt!$B$7)),"a",IF(AND(L267=Datenblatt!$B$7,L266=Datenblatt!$B$7,NOT(L268=Datenblatt!$B$7)),"b","")))</f>
        <v/>
      </c>
      <c r="O267" s="19" t="str">
        <f t="shared" si="124"/>
        <v/>
      </c>
      <c r="P267" s="124" t="str">
        <f>IF(AND(M267=Datenblatt!$B$7,NOT(M266=Datenblatt!$B$7),NOT(M268=Datenblatt!$B$7)),"y",IF(AND(M267=Datenblatt!$B$7,M268=Datenblatt!$B$7,NOT(M266=Datenblatt!$B$7)),"a",IF(AND(M267=Datenblatt!$B$7,M266=Datenblatt!$B$7,NOT(M268=Datenblatt!$B$7)),"b","")))</f>
        <v/>
      </c>
      <c r="Q267" s="19" t="str">
        <f t="shared" si="125"/>
        <v/>
      </c>
      <c r="R267" s="124" t="str">
        <f>IF(I267="","",IF(AND(OR(J267="Krankenstand",J267="Urlaub",J267=""), AND(G267=0,NOT(I267=""))),Datenblatt!$B$7,""))</f>
        <v/>
      </c>
      <c r="S267" s="19" t="str">
        <f>IF(OR(J267="Krankenstand",J267="Urlaub"),"",IF(J267="","",VLOOKUP(D267,Dienste!C:W,21,)))</f>
        <v/>
      </c>
      <c r="T267" s="18" t="str">
        <f>IF(OR(J267="Krankenstand",J267="Urlaub"),"",IF(J267="","",VLOOKUP(D267,Dienste!C:W,5,)))</f>
        <v/>
      </c>
      <c r="U267" s="18" t="str">
        <f>IF(OR(J267="Krankenstand",J267="Urlaub"),"",IF(J267="","",VLOOKUP(D267,Dienste!C:W,6,)))</f>
        <v/>
      </c>
      <c r="V267" s="18" t="str">
        <f>IF(OR(J267="Krankenstand",J267="Urlaub"),"",IF(J267="","",VLOOKUP(D267,Dienste!C:W,7,)))</f>
        <v/>
      </c>
      <c r="W267" s="18" t="str">
        <f>IF(OR(J267="Krankenstand",J267="Urlaub"),"",IF(J267="","",VLOOKUP(D267,Dienste!C:W,11,)))</f>
        <v/>
      </c>
      <c r="X267" s="18" t="str">
        <f>IF(OR(J267="Krankenstand",J267="Urlaub"),"",IF(J267="","",VLOOKUP(D267,Dienste!C:W,12,)))</f>
        <v/>
      </c>
      <c r="Y267" s="19" t="str">
        <f>IF(OR(J267="Krankenstand",J267="Urlaub"),"",IF(J267="","",VLOOKUP(D267,Dienste!C:W,14,)))</f>
        <v/>
      </c>
      <c r="Z267" s="20" t="str">
        <f>IF(OR(J267="Krankenstand",J267="Urlaub"),"",IF(J267="","",VLOOKUP(D267,Dienste!C:W,15,)))</f>
        <v/>
      </c>
      <c r="AA267" s="124" t="str">
        <f>IF(OR(Y267="",NOT(AB267="")),"",IF(AND(Y267&lt;AE268,AE268&gt;0),Y267,IF(AE268&gt;0,AE268,"")))</f>
        <v/>
      </c>
      <c r="AB267" s="19" t="str">
        <f t="shared" si="117"/>
        <v/>
      </c>
      <c r="AC267" s="126" t="str">
        <f>_xlfn.CONCAT(_xlfn.CONCAT(IF(I267="","",_xlfn.CONCAT("FT: ",I267,IF(J267="","","; "))),IF(B267&lt;Datenblatt!$B$9,"",IF(B267="","",IF(NOT(J267=""),SUBSTITUTE(SUBSTITUTE(SUBSTITUTE(J267," mR","")," oR","")," O",""),"")))),IF(AF267="","",_xlfn.CONCAT(CHAR(10),"; ",AF267)))</f>
        <v/>
      </c>
      <c r="AD267" s="124" t="str">
        <f t="shared" si="126"/>
        <v/>
      </c>
      <c r="AE267" s="19">
        <f t="shared" si="118"/>
        <v>0</v>
      </c>
      <c r="AF267" s="156"/>
    </row>
    <row r="268" spans="1:32" s="9" customFormat="1" ht="13">
      <c r="B268" s="28">
        <f>IF(B267="","",IF(DAY(B267+1)&lt;31,"",B267+1))</f>
        <v>44773</v>
      </c>
      <c r="C268" s="47">
        <f>SMALL(Daten!W:W,COUNTIF(Daten!W:W,"&lt;"&amp;Stundenaufzeichnung!B268+1))</f>
        <v>44578</v>
      </c>
      <c r="D268" s="47" t="str">
        <f t="shared" si="114"/>
        <v/>
      </c>
      <c r="E268" s="29">
        <f t="shared" si="115"/>
        <v>2</v>
      </c>
      <c r="F268" s="29">
        <f>IF(B268="","",MOD(E268+$F$3,7)+1)</f>
        <v>7</v>
      </c>
      <c r="G268" s="29">
        <f>IF(B268="","",VLOOKUP(E268,Datenblatt!$L$2:$N$8,3,FALSE))</f>
        <v>1</v>
      </c>
      <c r="H268" s="29" t="str">
        <f t="shared" si="121"/>
        <v>x</v>
      </c>
      <c r="I268" s="123" t="str">
        <f>IFERROR(VLOOKUP(B268,Datenblatt!$E:$F,2,FALSE),"")</f>
        <v/>
      </c>
      <c r="J268" s="114"/>
      <c r="K268" s="30" t="str">
        <f>IF(B268&lt;Datenblatt!$B$9,"",IF(B268="","",IF(G268=0,Datenblatt!$B$7,"")))</f>
        <v/>
      </c>
      <c r="L268" s="30" t="str">
        <f t="shared" si="122"/>
        <v/>
      </c>
      <c r="M268" s="30" t="str">
        <f t="shared" si="123"/>
        <v/>
      </c>
      <c r="N268" s="30" t="str">
        <f>IF(AND(L268=Datenblatt!$B$7,NOT(L267=Datenblatt!$B$7),NOT(L269=Datenblatt!$B$7)),"y",IF(AND(L268=Datenblatt!$B$7,L269=Datenblatt!$B$7,NOT(L267=Datenblatt!$B$7)),"a",IF(AND(L268=Datenblatt!$B$7,L267=Datenblatt!$B$7,NOT(L269=Datenblatt!$B$7)),"b","")))</f>
        <v/>
      </c>
      <c r="O268" s="30" t="str">
        <f t="shared" si="124"/>
        <v/>
      </c>
      <c r="P268" s="30" t="str">
        <f>IF(AND(M268=Datenblatt!$B$7,NOT(M267=Datenblatt!$B$7),NOT(M269=Datenblatt!$B$7)),"y",IF(AND(M268=Datenblatt!$B$7,M269=Datenblatt!$B$7,NOT(M267=Datenblatt!$B$7)),"a",IF(AND(M268=Datenblatt!$B$7,M267=Datenblatt!$B$7,NOT(M269=Datenblatt!$B$7)),"b","")))</f>
        <v/>
      </c>
      <c r="Q268" s="30" t="str">
        <f t="shared" si="125"/>
        <v/>
      </c>
      <c r="R268" s="30" t="str">
        <f>IF(I268="","",IF(AND(OR(J268="Krankenstand",J268="Urlaub",J268=""), AND(G268=0,NOT(I268=""))),Datenblatt!$B$7,""))</f>
        <v/>
      </c>
      <c r="S268" s="30" t="str">
        <f>IF(OR(J268="Krankenstand",J268="Urlaub"),"",IF(J268="","",VLOOKUP(D268,Dienste!C:W,21,)))</f>
        <v/>
      </c>
      <c r="T268" s="31" t="str">
        <f>IF(OR(J268="Krankenstand",J268="Urlaub"),"",IF(J268="","",VLOOKUP(D268,Dienste!C:W,5,)))</f>
        <v/>
      </c>
      <c r="U268" s="31" t="str">
        <f>IF(OR(J268="Krankenstand",J268="Urlaub"),"",IF(J268="","",VLOOKUP(D268,Dienste!C:W,6,)))</f>
        <v/>
      </c>
      <c r="V268" s="31" t="str">
        <f>IF(OR(J268="Krankenstand",J268="Urlaub"),"",IF(J268="","",VLOOKUP(D268,Dienste!C:W,7,)))</f>
        <v/>
      </c>
      <c r="W268" s="31" t="str">
        <f>IF(OR(J268="Krankenstand",J268="Urlaub"),"",IF(J268="","",VLOOKUP(D268,Dienste!C:W,11,)))</f>
        <v/>
      </c>
      <c r="X268" s="31" t="str">
        <f>IF(OR(J268="Krankenstand",J268="Urlaub"),"",IF(J268="","",VLOOKUP(D268,Dienste!C:W,12,)))</f>
        <v/>
      </c>
      <c r="Y268" s="30" t="str">
        <f>IF(OR(J268="Krankenstand",J268="Urlaub"),"",IF(J268="","",VLOOKUP(D268,Dienste!C:W,14,)))</f>
        <v/>
      </c>
      <c r="Z268" s="32" t="str">
        <f>IF(OR(J268="Krankenstand",J268="Urlaub"),"",IF(J268="","",VLOOKUP(D268,Dienste!C:W,15,)))</f>
        <v/>
      </c>
      <c r="AA268" s="30" t="str">
        <f>IF(OR(Y268="",NOT(AB268="")),"",IF(AND(Y268&lt;AE269,AE269&gt;0),Y268,IF(AE269&gt;0,AE269,"")))</f>
        <v/>
      </c>
      <c r="AB268" s="30" t="str">
        <f t="shared" si="117"/>
        <v/>
      </c>
      <c r="AC268" s="125" t="str">
        <f>_xlfn.CONCAT(_xlfn.CONCAT(IF(I268="","",_xlfn.CONCAT("FT: ",I268,IF(J268="","","; "))),IF(B268&lt;Datenblatt!$B$9,"",IF(B268="","",IF(NOT(J268=""),SUBSTITUTE(SUBSTITUTE(SUBSTITUTE(J268," mR","")," oR","")," O",""),"")))),IF(AF268="","",_xlfn.CONCAT(CHAR(10),"; ",AF268)))</f>
        <v/>
      </c>
      <c r="AD268" s="30" t="str">
        <f t="shared" si="126"/>
        <v/>
      </c>
      <c r="AE268" s="30">
        <f>IF(OR(Y268="",NOT(AB268="")),AE269,AE269-Y268)</f>
        <v>0</v>
      </c>
      <c r="AF268" s="157"/>
    </row>
    <row r="269" spans="1:32" s="8" customFormat="1" ht="13">
      <c r="AA269" s="19">
        <f>IF(AD270-AB270-K270&lt;0,0,AD270-AB270-K270)</f>
        <v>0</v>
      </c>
      <c r="AC269" s="17" t="s">
        <v>193</v>
      </c>
      <c r="AE269" s="19">
        <f>AA269</f>
        <v>0</v>
      </c>
      <c r="AF269" s="17"/>
    </row>
    <row r="270" spans="1:32" s="8" customFormat="1" ht="13">
      <c r="B270" s="25" t="str">
        <f>"Summen "&amp;TEXT(B238,"MMMM")</f>
        <v>Summen Juli</v>
      </c>
      <c r="C270" s="25"/>
      <c r="D270" s="25"/>
      <c r="E270" s="17"/>
      <c r="F270" s="17"/>
      <c r="G270" s="17"/>
      <c r="H270" s="17"/>
      <c r="I270" s="17"/>
      <c r="J270" s="17"/>
      <c r="K270" s="19">
        <f>SUM(K238:K268)</f>
        <v>173.41999999999993</v>
      </c>
      <c r="L270" s="19">
        <f t="shared" ref="L270:M270" si="127">SUM(L238:L268)</f>
        <v>0</v>
      </c>
      <c r="M270" s="19">
        <f t="shared" si="127"/>
        <v>0</v>
      </c>
      <c r="N270" s="19"/>
      <c r="O270" s="19" t="str">
        <f>IF(_xlfn.CONCAT(O238:O268)="","",REPLACE(_xlfn.CONCAT(O238:O268),LEN(_xlfn.CONCAT(O238:O268))-1,1,""))</f>
        <v/>
      </c>
      <c r="P270" s="19"/>
      <c r="Q270" s="19" t="str">
        <f t="shared" ref="Q270" si="128">IF(_xlfn.CONCAT(Q238:Q268)="","",REPLACE(_xlfn.CONCAT(Q238:Q268),LEN(_xlfn.CONCAT(Q238:Q268))-1,1,""))</f>
        <v/>
      </c>
      <c r="R270" s="19">
        <f t="shared" ref="R270:S270" si="129">SUM(R238:R268)</f>
        <v>0</v>
      </c>
      <c r="S270" s="19">
        <f t="shared" si="129"/>
        <v>0</v>
      </c>
      <c r="T270" s="19"/>
      <c r="U270" s="19"/>
      <c r="V270" s="19"/>
      <c r="W270" s="19"/>
      <c r="X270" s="17"/>
      <c r="Y270" s="19">
        <f>SUM(Y238:Y268)</f>
        <v>0</v>
      </c>
      <c r="Z270" s="20">
        <f>SUM(Z238:Z268)</f>
        <v>0</v>
      </c>
      <c r="AA270" s="26">
        <f>IF(AA269&gt;10,10,AA269)</f>
        <v>0</v>
      </c>
      <c r="AB270" s="19">
        <f t="shared" ref="AB270" si="130">SUM(AB238:AB268)</f>
        <v>0</v>
      </c>
      <c r="AC270" s="20">
        <f>R271</f>
        <v>0</v>
      </c>
      <c r="AD270" s="19">
        <f>SUM(AD238:AD268)</f>
        <v>0</v>
      </c>
      <c r="AE270" s="19"/>
      <c r="AF270" s="20"/>
    </row>
    <row r="271" spans="1:32" s="8" customFormat="1" ht="13">
      <c r="B271" s="25" t="str">
        <f>"Anzahl "&amp;TEXT(B238,"MMMM")</f>
        <v>Anzahl Juli</v>
      </c>
      <c r="C271" s="25"/>
      <c r="D271" s="25"/>
      <c r="E271" s="17"/>
      <c r="F271" s="17"/>
      <c r="G271" s="17"/>
      <c r="H271" s="17"/>
      <c r="I271" s="17"/>
      <c r="J271" s="17"/>
      <c r="K271" s="17">
        <f>COUNT(K238:K268)</f>
        <v>26</v>
      </c>
      <c r="L271" s="17">
        <f t="shared" ref="L271:M271" si="131">COUNT(L238:L268)</f>
        <v>0</v>
      </c>
      <c r="M271" s="17">
        <f t="shared" si="131"/>
        <v>0</v>
      </c>
      <c r="N271" s="17"/>
      <c r="O271" s="17"/>
      <c r="P271" s="17"/>
      <c r="Q271" s="17"/>
      <c r="R271" s="17">
        <f t="shared" ref="R271:S271" si="132">COUNT(R238:R268)</f>
        <v>0</v>
      </c>
      <c r="S271" s="17">
        <f t="shared" si="132"/>
        <v>0</v>
      </c>
      <c r="T271" s="17"/>
      <c r="U271" s="17"/>
      <c r="V271" s="17"/>
      <c r="W271" s="17"/>
      <c r="X271" s="17"/>
      <c r="Y271" s="17"/>
      <c r="Z271" s="17"/>
      <c r="AA271" s="27">
        <f>IF(AA269&gt;10,AA269-10,0)</f>
        <v>0</v>
      </c>
      <c r="AB271" s="17"/>
      <c r="AC271" s="17"/>
      <c r="AD271" s="17"/>
      <c r="AE271" s="17"/>
      <c r="AF271" s="17"/>
    </row>
    <row r="272" spans="1:32" s="8" customFormat="1" ht="13.5" thickBot="1">
      <c r="A272" s="10"/>
      <c r="B272" s="10"/>
      <c r="C272" s="10"/>
      <c r="D272" s="10"/>
      <c r="E272" s="10"/>
      <c r="F272" s="10"/>
      <c r="G272" s="10"/>
      <c r="H272" s="10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0"/>
      <c r="AB272" s="10"/>
      <c r="AC272" s="10"/>
      <c r="AD272" s="34"/>
      <c r="AE272" s="34"/>
      <c r="AF272" s="10"/>
    </row>
    <row r="273" spans="1:32" s="5" customFormat="1"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32" s="5" customFormat="1" ht="18.5">
      <c r="B274" s="33" t="s">
        <v>95</v>
      </c>
      <c r="C274" s="33"/>
      <c r="D274" s="33"/>
      <c r="E274" s="23"/>
      <c r="F274" s="23"/>
      <c r="G274" s="23"/>
      <c r="H274" s="23"/>
      <c r="I274" s="217" t="str">
        <f>Datenblatt!$B$4</f>
        <v>Dummy Name</v>
      </c>
      <c r="J274" s="217"/>
      <c r="K274" s="217"/>
      <c r="L274" s="217"/>
      <c r="M274" s="217"/>
      <c r="N274" s="217"/>
      <c r="O274" s="217"/>
      <c r="P274" s="217"/>
      <c r="Q274" s="217"/>
      <c r="R274" s="217"/>
      <c r="S274" s="217"/>
      <c r="T274" s="218" t="str">
        <f>TEXT(B277,"MMMM JJJJ")</f>
        <v>August 2022</v>
      </c>
      <c r="U274" s="218"/>
      <c r="V274" s="218"/>
      <c r="W274" s="218"/>
      <c r="X274" s="8"/>
      <c r="Y274" s="8"/>
      <c r="Z274" s="8"/>
    </row>
    <row r="275" spans="1:32" s="5" customFormat="1" ht="15" customHeight="1">
      <c r="I275" s="2"/>
      <c r="J275" s="2"/>
      <c r="K275" s="13"/>
      <c r="L275" s="13"/>
      <c r="M275" s="13"/>
      <c r="N275" s="13"/>
      <c r="O275" s="13"/>
      <c r="P275" s="13"/>
      <c r="Q275" s="13"/>
      <c r="R275" s="13"/>
      <c r="S275" s="13"/>
      <c r="T275" s="221" t="s">
        <v>43</v>
      </c>
      <c r="U275" s="221"/>
      <c r="V275" s="221" t="s">
        <v>45</v>
      </c>
      <c r="W275" s="221" t="s">
        <v>116</v>
      </c>
      <c r="X275" s="221" t="s">
        <v>11</v>
      </c>
      <c r="Y275" s="219" t="s">
        <v>194</v>
      </c>
      <c r="Z275" s="219" t="s">
        <v>7</v>
      </c>
      <c r="AA275" s="220" t="s">
        <v>49</v>
      </c>
      <c r="AB275" s="220"/>
      <c r="AC275" s="160"/>
      <c r="AD275" s="160"/>
    </row>
    <row r="276" spans="1:32" s="5" customFormat="1" ht="15" customHeight="1">
      <c r="B276" s="8"/>
      <c r="C276" s="8"/>
      <c r="D276" s="8" t="s">
        <v>161</v>
      </c>
      <c r="E276" s="8"/>
      <c r="F276" s="8">
        <f>VLOOKUP(Datenblatt!$B$8,Datenblatt!$J:$K,2,FALSE)</f>
        <v>4</v>
      </c>
      <c r="G276" s="8" t="s">
        <v>113</v>
      </c>
      <c r="H276" s="8"/>
      <c r="I276" s="12" t="s">
        <v>92</v>
      </c>
      <c r="J276" s="115" t="s">
        <v>12</v>
      </c>
      <c r="K276" s="12" t="s">
        <v>94</v>
      </c>
      <c r="L276" s="12" t="s">
        <v>85</v>
      </c>
      <c r="M276" s="12" t="s">
        <v>88</v>
      </c>
      <c r="N276" s="12" t="s">
        <v>117</v>
      </c>
      <c r="O276" s="12" t="s">
        <v>117</v>
      </c>
      <c r="P276" s="12" t="s">
        <v>118</v>
      </c>
      <c r="Q276" s="12" t="s">
        <v>118</v>
      </c>
      <c r="R276" s="12" t="s">
        <v>112</v>
      </c>
      <c r="S276" s="12" t="s">
        <v>115</v>
      </c>
      <c r="T276" s="15" t="s">
        <v>51</v>
      </c>
      <c r="U276" s="15" t="s">
        <v>50</v>
      </c>
      <c r="V276" s="222"/>
      <c r="W276" s="222"/>
      <c r="X276" s="222"/>
      <c r="Y276" s="219"/>
      <c r="Z276" s="219" t="s">
        <v>7</v>
      </c>
      <c r="AA276" s="21">
        <v>0.5</v>
      </c>
      <c r="AB276" s="16" t="s">
        <v>114</v>
      </c>
      <c r="AC276" s="16" t="s">
        <v>131</v>
      </c>
      <c r="AD276" s="16" t="s">
        <v>131</v>
      </c>
      <c r="AE276" s="128" t="s">
        <v>195</v>
      </c>
      <c r="AF276" s="16" t="s">
        <v>198</v>
      </c>
    </row>
    <row r="277" spans="1:32" s="9" customFormat="1" ht="13">
      <c r="A277" s="9">
        <f>A238+1</f>
        <v>8</v>
      </c>
      <c r="B277" s="6">
        <f>DATE(Datenblatt!$B$3,A277,1)</f>
        <v>44774</v>
      </c>
      <c r="C277" s="45">
        <f>SMALL(Daten!W:W,COUNTIF(Daten!W:W,"&lt;"&amp;Stundenaufzeichnung!B277+1))</f>
        <v>44578</v>
      </c>
      <c r="D277" s="45" t="str">
        <f t="shared" ref="D277:D307" si="133">IF(J277="","",CONCATENATE(C277," ",J277))</f>
        <v/>
      </c>
      <c r="E277" s="8">
        <f t="shared" ref="E277:E307" si="134">IF(B277="","",WEEKDAY(B277,16))</f>
        <v>3</v>
      </c>
      <c r="F277" s="8">
        <f>MOD(E277+$F$3,7)+1</f>
        <v>1</v>
      </c>
      <c r="G277" s="8">
        <f>IF(B277="","",VLOOKUP(E277,Datenblatt!$L$2:$N$8,3,FALSE))</f>
        <v>0</v>
      </c>
      <c r="H277" s="8" t="str">
        <f>IF(OR(G277=1),"x",IF(I277="","","x"))</f>
        <v/>
      </c>
      <c r="I277" s="11" t="str">
        <f>IFERROR(VLOOKUP(B277,Datenblatt!$E:$F,2,FALSE),"")</f>
        <v/>
      </c>
      <c r="J277" s="113"/>
      <c r="K277" s="19">
        <f>IF(B277&lt;Datenblatt!$B$9,"",IF(B277="","",IF(G277=0,Datenblatt!$B$7,"")))</f>
        <v>6.67</v>
      </c>
      <c r="L277" s="19" t="str">
        <f>IF(AND(J277="Krankenstand",R277=""),K277,"")</f>
        <v/>
      </c>
      <c r="M277" s="124" t="str">
        <f>IF(AND(J277="Urlaub",R277=""),K277,"")</f>
        <v/>
      </c>
      <c r="N277" s="124" t="str">
        <f>IF(AND(L277=Datenblatt!$B$7,NOT(L276=Datenblatt!$B$7),NOT(L278=Datenblatt!$B$7)),"y",IF(AND(L277=Datenblatt!$B$7,L278=Datenblatt!$B$7,NOT(L276=Datenblatt!$B$7)),"a",IF(AND(L277=Datenblatt!$B$7,L276=Datenblatt!$B$7,NOT(L278=Datenblatt!$B$7)),"b","")))</f>
        <v/>
      </c>
      <c r="O277" s="19" t="str">
        <f>IF(N277="a",TEXT(B277,"TT.MM.")&amp;" - ",IF(OR(N277="b",N277="y"),TEXT(B277,"TT.MM.")&amp;"; ",""))</f>
        <v/>
      </c>
      <c r="P277" s="124" t="str">
        <f>IF(AND(M277=Datenblatt!$B$7,NOT(M276=Datenblatt!$B$7),NOT(M278=Datenblatt!$B$7)),"y",IF(AND(M277=Datenblatt!$B$7,M278=Datenblatt!$B$7,NOT(M276=Datenblatt!$B$7)),"a",IF(AND(M277=Datenblatt!$B$7,M276=Datenblatt!$B$7,NOT(M278=Datenblatt!$B$7)),"b","")))</f>
        <v/>
      </c>
      <c r="Q277" s="19" t="str">
        <f>IF(P277="a",TEXT(B277,"TT.MM.")&amp;" - ",IF(OR(P277="b",P277="y"),TEXT(B277,"TT.MM.")&amp;"; ",""))</f>
        <v/>
      </c>
      <c r="R277" s="124" t="str">
        <f>IF(I277="","",IF(AND(OR(J277="Krankenstand",J277="Urlaub",J277=""), AND(G277=0,NOT(I277=""))),Datenblatt!$B$7,""))</f>
        <v/>
      </c>
      <c r="S277" s="19" t="str">
        <f>IF(OR(J277="Krankenstand",J277="Urlaub"),"",IF(J277="","",VLOOKUP(D277,Dienste!C:W,21,)))</f>
        <v/>
      </c>
      <c r="T277" s="18" t="str">
        <f>IF(OR(J277="Krankenstand",J277="Urlaub"),"",IF(J277="","",VLOOKUP(D277,Dienste!C:W,5,)))</f>
        <v/>
      </c>
      <c r="U277" s="18" t="str">
        <f>IF(OR(J277="Krankenstand",J277="Urlaub"),"",IF(J277="","",VLOOKUP(D277,Dienste!C:W,6,)))</f>
        <v/>
      </c>
      <c r="V277" s="18" t="str">
        <f>IF(OR(J277="Krankenstand",J277="Urlaub"),"",IF(J277="","",VLOOKUP(D277,Dienste!C:W,7,)))</f>
        <v/>
      </c>
      <c r="W277" s="18" t="str">
        <f>IF(OR(J277="Krankenstand",J277="Urlaub"),"",IF(J277="","",VLOOKUP(D277,Dienste!C:W,11,)))</f>
        <v/>
      </c>
      <c r="X277" s="18" t="str">
        <f>IF(OR(J277="Krankenstand",J277="Urlaub"),"",IF(J277="","",VLOOKUP(D277,Dienste!C:W,12,)))</f>
        <v/>
      </c>
      <c r="Y277" s="19" t="str">
        <f>IF(OR(J277="Krankenstand",J277="Urlaub"),"",IF(J277="","",VLOOKUP(D277,Dienste!C:W,14,)))</f>
        <v/>
      </c>
      <c r="Z277" s="20" t="str">
        <f>IF(OR(J277="Krankenstand",J277="Urlaub"),"",IF(J277="","",VLOOKUP(D277,Dienste!C:W,15,)))</f>
        <v/>
      </c>
      <c r="AA277" s="124" t="str">
        <f t="shared" ref="AA277:AA305" si="135">IF(OR(Y277="",NOT(AB277="")),"",IF(AND(Y277&lt;AE278,AE278&gt;0),Y277,IF(AE278&gt;0,AE278,"")))</f>
        <v/>
      </c>
      <c r="AB277" s="19" t="str">
        <f t="shared" ref="AB277:AB307" si="136">IF(I277="","",Y277)</f>
        <v/>
      </c>
      <c r="AC277" s="126" t="str">
        <f>_xlfn.CONCAT(_xlfn.CONCAT(IF(I277="","",_xlfn.CONCAT("FT: ",I277,IF(J277="","","; "))),IF(B277&lt;Datenblatt!$B$9,"",IF(B277="","",IF(NOT(J277=""),SUBSTITUTE(SUBSTITUTE(SUBSTITUTE(J277," mR","")," oR","")," O",""),"")))),IF(AF277="","",_xlfn.CONCAT(CHAR(10),"; ",AF277)))</f>
        <v/>
      </c>
      <c r="AD277" s="124" t="str">
        <f>IF(SUM(Y277,R277,M277,L277)&lt;=0,"",SUM(Y277,R277,M277,L277))</f>
        <v/>
      </c>
      <c r="AE277" s="19">
        <f t="shared" ref="AE277:AE306" si="137">IF(OR(Y277="",NOT(AB277="")),AE278,AE278-Y277)</f>
        <v>0</v>
      </c>
      <c r="AF277" s="156"/>
    </row>
    <row r="278" spans="1:32" s="9" customFormat="1" ht="13">
      <c r="B278" s="6">
        <f t="shared" ref="B278:B304" si="138">B277+1</f>
        <v>44775</v>
      </c>
      <c r="C278" s="45">
        <f>SMALL(Daten!W:W,COUNTIF(Daten!W:W,"&lt;"&amp;Stundenaufzeichnung!B278+1))</f>
        <v>44578</v>
      </c>
      <c r="D278" s="45" t="str">
        <f t="shared" si="133"/>
        <v/>
      </c>
      <c r="E278" s="8">
        <f t="shared" si="134"/>
        <v>4</v>
      </c>
      <c r="F278" s="8">
        <f t="shared" ref="F278:F304" si="139">MOD(E278+$F$3,7)+1</f>
        <v>2</v>
      </c>
      <c r="G278" s="8">
        <f>IF(B278="","",VLOOKUP(E278,Datenblatt!$L$2:$N$8,3,FALSE))</f>
        <v>0</v>
      </c>
      <c r="H278" s="8" t="str">
        <f t="shared" ref="H278:H307" si="140">IF(OR(G278=1),"x",IF(I278="","","x"))</f>
        <v/>
      </c>
      <c r="I278" s="11" t="str">
        <f>IFERROR(VLOOKUP(B278,Datenblatt!$E:$F,2,FALSE),"")</f>
        <v/>
      </c>
      <c r="J278" s="113"/>
      <c r="K278" s="19">
        <f>IF(B278&lt;Datenblatt!$B$9,"",IF(B278="","",IF(G278=0,Datenblatt!$B$7,"")))</f>
        <v>6.67</v>
      </c>
      <c r="L278" s="19" t="str">
        <f t="shared" ref="L278:L307" si="141">IF(AND(J278="Krankenstand",R278=""),K278,"")</f>
        <v/>
      </c>
      <c r="M278" s="124" t="str">
        <f t="shared" ref="M278:M307" si="142">IF(AND(J278="Urlaub",R278=""),K278,"")</f>
        <v/>
      </c>
      <c r="N278" s="124" t="str">
        <f>IF(AND(L278=Datenblatt!$B$7,NOT(L277=Datenblatt!$B$7),NOT(L279=Datenblatt!$B$7)),"y",IF(AND(L278=Datenblatt!$B$7,L279=Datenblatt!$B$7,NOT(L277=Datenblatt!$B$7)),"a",IF(AND(L278=Datenblatt!$B$7,L277=Datenblatt!$B$7,NOT(L279=Datenblatt!$B$7)),"b","")))</f>
        <v/>
      </c>
      <c r="O278" s="19" t="str">
        <f t="shared" ref="O278:O307" si="143">IF(N278="a",TEXT(B278,"TT.MM.")&amp;" - ",IF(OR(N278="b",N278="y"),TEXT(B278,"TT.MM.")&amp;"; ",""))</f>
        <v/>
      </c>
      <c r="P278" s="124" t="str">
        <f>IF(AND(M278=Datenblatt!$B$7,NOT(M277=Datenblatt!$B$7),NOT(M279=Datenblatt!$B$7)),"y",IF(AND(M278=Datenblatt!$B$7,M279=Datenblatt!$B$7,NOT(M277=Datenblatt!$B$7)),"a",IF(AND(M278=Datenblatt!$B$7,M277=Datenblatt!$B$7,NOT(M279=Datenblatt!$B$7)),"b","")))</f>
        <v/>
      </c>
      <c r="Q278" s="19" t="str">
        <f t="shared" ref="Q278:Q307" si="144">IF(P278="a",TEXT(B278,"TT.MM.")&amp;" - ",IF(OR(P278="b",P278="y"),TEXT(B278,"TT.MM.")&amp;"; ",""))</f>
        <v/>
      </c>
      <c r="R278" s="124" t="str">
        <f>IF(I278="","",IF(AND(OR(J278="Krankenstand",J278="Urlaub",J278=""), AND(G278=0,NOT(I278=""))),Datenblatt!$B$7,""))</f>
        <v/>
      </c>
      <c r="S278" s="19" t="str">
        <f>IF(OR(J278="Krankenstand",J278="Urlaub"),"",IF(J278="","",VLOOKUP(D278,Dienste!C:W,21,)))</f>
        <v/>
      </c>
      <c r="T278" s="18" t="str">
        <f>IF(OR(J278="Krankenstand",J278="Urlaub"),"",IF(J278="","",VLOOKUP(D278,Dienste!C:W,5,)))</f>
        <v/>
      </c>
      <c r="U278" s="18" t="str">
        <f>IF(OR(J278="Krankenstand",J278="Urlaub"),"",IF(J278="","",VLOOKUP(D278,Dienste!C:W,6,)))</f>
        <v/>
      </c>
      <c r="V278" s="18" t="str">
        <f>IF(OR(J278="Krankenstand",J278="Urlaub"),"",IF(J278="","",VLOOKUP(D278,Dienste!C:W,7,)))</f>
        <v/>
      </c>
      <c r="W278" s="18" t="str">
        <f>IF(OR(J278="Krankenstand",J278="Urlaub"),"",IF(J278="","",VLOOKUP(D278,Dienste!C:W,11,)))</f>
        <v/>
      </c>
      <c r="X278" s="18" t="str">
        <f>IF(OR(J278="Krankenstand",J278="Urlaub"),"",IF(J278="","",VLOOKUP(D278,Dienste!C:W,12,)))</f>
        <v/>
      </c>
      <c r="Y278" s="19" t="str">
        <f>IF(OR(J278="Krankenstand",J278="Urlaub"),"",IF(J278="","",VLOOKUP(D278,Dienste!C:W,14,)))</f>
        <v/>
      </c>
      <c r="Z278" s="20" t="str">
        <f>IF(OR(J278="Krankenstand",J278="Urlaub"),"",IF(J278="","",VLOOKUP(D278,Dienste!C:W,15,)))</f>
        <v/>
      </c>
      <c r="AA278" s="124" t="str">
        <f t="shared" si="135"/>
        <v/>
      </c>
      <c r="AB278" s="19" t="str">
        <f t="shared" si="136"/>
        <v/>
      </c>
      <c r="AC278" s="126" t="str">
        <f>_xlfn.CONCAT(_xlfn.CONCAT(IF(I278="","",_xlfn.CONCAT("FT: ",I278,IF(J278="","","; "))),IF(B278&lt;Datenblatt!$B$9,"",IF(B278="","",IF(NOT(J278=""),SUBSTITUTE(SUBSTITUTE(SUBSTITUTE(J278," mR","")," oR","")," O",""),"")))),IF(AF278="","",_xlfn.CONCAT(CHAR(10),"; ",AF278)))</f>
        <v/>
      </c>
      <c r="AD278" s="124" t="str">
        <f t="shared" ref="AD278:AD307" si="145">IF(SUM(Y278,R278,M278,L278)&lt;=0,"",SUM(Y278,R278,M278,L278))</f>
        <v/>
      </c>
      <c r="AE278" s="19">
        <f t="shared" si="137"/>
        <v>0</v>
      </c>
      <c r="AF278" s="156"/>
    </row>
    <row r="279" spans="1:32" s="9" customFormat="1" ht="13">
      <c r="B279" s="6">
        <f t="shared" si="138"/>
        <v>44776</v>
      </c>
      <c r="C279" s="45">
        <f>SMALL(Daten!W:W,COUNTIF(Daten!W:W,"&lt;"&amp;Stundenaufzeichnung!B279+1))</f>
        <v>44578</v>
      </c>
      <c r="D279" s="45" t="str">
        <f t="shared" si="133"/>
        <v/>
      </c>
      <c r="E279" s="8">
        <f t="shared" si="134"/>
        <v>5</v>
      </c>
      <c r="F279" s="8">
        <f t="shared" si="139"/>
        <v>3</v>
      </c>
      <c r="G279" s="8">
        <f>IF(B279="","",VLOOKUP(E279,Datenblatt!$L$2:$N$8,3,FALSE))</f>
        <v>0</v>
      </c>
      <c r="H279" s="8" t="str">
        <f t="shared" si="140"/>
        <v/>
      </c>
      <c r="I279" s="11" t="str">
        <f>IFERROR(VLOOKUP(B279,Datenblatt!$E:$F,2,FALSE),"")</f>
        <v/>
      </c>
      <c r="J279" s="113"/>
      <c r="K279" s="19">
        <f>IF(B279&lt;Datenblatt!$B$9,"",IF(B279="","",IF(G279=0,Datenblatt!$B$7,"")))</f>
        <v>6.67</v>
      </c>
      <c r="L279" s="19" t="str">
        <f t="shared" si="141"/>
        <v/>
      </c>
      <c r="M279" s="124" t="str">
        <f t="shared" si="142"/>
        <v/>
      </c>
      <c r="N279" s="124" t="str">
        <f>IF(AND(L279=Datenblatt!$B$7,NOT(L278=Datenblatt!$B$7),NOT(L280=Datenblatt!$B$7)),"y",IF(AND(L279=Datenblatt!$B$7,L280=Datenblatt!$B$7,NOT(L278=Datenblatt!$B$7)),"a",IF(AND(L279=Datenblatt!$B$7,L278=Datenblatt!$B$7,NOT(L280=Datenblatt!$B$7)),"b","")))</f>
        <v/>
      </c>
      <c r="O279" s="19" t="str">
        <f t="shared" si="143"/>
        <v/>
      </c>
      <c r="P279" s="124" t="str">
        <f>IF(AND(M279=Datenblatt!$B$7,NOT(M278=Datenblatt!$B$7),NOT(M280=Datenblatt!$B$7)),"y",IF(AND(M279=Datenblatt!$B$7,M280=Datenblatt!$B$7,NOT(M278=Datenblatt!$B$7)),"a",IF(AND(M279=Datenblatt!$B$7,M278=Datenblatt!$B$7,NOT(M280=Datenblatt!$B$7)),"b","")))</f>
        <v/>
      </c>
      <c r="Q279" s="19" t="str">
        <f t="shared" si="144"/>
        <v/>
      </c>
      <c r="R279" s="124" t="str">
        <f>IF(I279="","",IF(AND(OR(J279="Krankenstand",J279="Urlaub",J279=""), AND(G279=0,NOT(I279=""))),Datenblatt!$B$7,""))</f>
        <v/>
      </c>
      <c r="S279" s="19" t="str">
        <f>IF(OR(J279="Krankenstand",J279="Urlaub"),"",IF(J279="","",VLOOKUP(D279,Dienste!C:W,21,)))</f>
        <v/>
      </c>
      <c r="T279" s="18" t="str">
        <f>IF(OR(J279="Krankenstand",J279="Urlaub"),"",IF(J279="","",VLOOKUP(D279,Dienste!C:W,5,)))</f>
        <v/>
      </c>
      <c r="U279" s="18" t="str">
        <f>IF(OR(J279="Krankenstand",J279="Urlaub"),"",IF(J279="","",VLOOKUP(D279,Dienste!C:W,6,)))</f>
        <v/>
      </c>
      <c r="V279" s="18" t="str">
        <f>IF(OR(J279="Krankenstand",J279="Urlaub"),"",IF(J279="","",VLOOKUP(D279,Dienste!C:W,7,)))</f>
        <v/>
      </c>
      <c r="W279" s="18" t="str">
        <f>IF(OR(J279="Krankenstand",J279="Urlaub"),"",IF(J279="","",VLOOKUP(D279,Dienste!C:W,11,)))</f>
        <v/>
      </c>
      <c r="X279" s="18" t="str">
        <f>IF(OR(J279="Krankenstand",J279="Urlaub"),"",IF(J279="","",VLOOKUP(D279,Dienste!C:W,12,)))</f>
        <v/>
      </c>
      <c r="Y279" s="19" t="str">
        <f>IF(OR(J279="Krankenstand",J279="Urlaub"),"",IF(J279="","",VLOOKUP(D279,Dienste!C:W,14,)))</f>
        <v/>
      </c>
      <c r="Z279" s="20" t="str">
        <f>IF(OR(J279="Krankenstand",J279="Urlaub"),"",IF(J279="","",VLOOKUP(D279,Dienste!C:W,15,)))</f>
        <v/>
      </c>
      <c r="AA279" s="124" t="str">
        <f t="shared" si="135"/>
        <v/>
      </c>
      <c r="AB279" s="19" t="str">
        <f t="shared" si="136"/>
        <v/>
      </c>
      <c r="AC279" s="126" t="str">
        <f>_xlfn.CONCAT(_xlfn.CONCAT(IF(I279="","",_xlfn.CONCAT("FT: ",I279,IF(J279="","","; "))),IF(B279&lt;Datenblatt!$B$9,"",IF(B279="","",IF(NOT(J279=""),SUBSTITUTE(SUBSTITUTE(SUBSTITUTE(J279," mR","")," oR","")," O",""),"")))),IF(AF279="","",_xlfn.CONCAT(CHAR(10),"; ",AF279)))</f>
        <v/>
      </c>
      <c r="AD279" s="124" t="str">
        <f t="shared" si="145"/>
        <v/>
      </c>
      <c r="AE279" s="19">
        <f t="shared" si="137"/>
        <v>0</v>
      </c>
      <c r="AF279" s="156"/>
    </row>
    <row r="280" spans="1:32" s="9" customFormat="1" ht="13">
      <c r="B280" s="6">
        <f t="shared" si="138"/>
        <v>44777</v>
      </c>
      <c r="C280" s="45">
        <f>SMALL(Daten!W:W,COUNTIF(Daten!W:W,"&lt;"&amp;Stundenaufzeichnung!B280+1))</f>
        <v>44578</v>
      </c>
      <c r="D280" s="45" t="str">
        <f t="shared" si="133"/>
        <v/>
      </c>
      <c r="E280" s="8">
        <f t="shared" si="134"/>
        <v>6</v>
      </c>
      <c r="F280" s="8">
        <f t="shared" si="139"/>
        <v>4</v>
      </c>
      <c r="G280" s="8">
        <f>IF(B280="","",VLOOKUP(E280,Datenblatt!$L$2:$N$8,3,FALSE))</f>
        <v>0</v>
      </c>
      <c r="H280" s="8" t="str">
        <f t="shared" si="140"/>
        <v/>
      </c>
      <c r="I280" s="11" t="str">
        <f>IFERROR(VLOOKUP(B280,Datenblatt!$E:$F,2,FALSE),"")</f>
        <v/>
      </c>
      <c r="J280" s="113"/>
      <c r="K280" s="19">
        <f>IF(B280&lt;Datenblatt!$B$9,"",IF(B280="","",IF(G280=0,Datenblatt!$B$7,"")))</f>
        <v>6.67</v>
      </c>
      <c r="L280" s="19" t="str">
        <f t="shared" si="141"/>
        <v/>
      </c>
      <c r="M280" s="124" t="str">
        <f t="shared" si="142"/>
        <v/>
      </c>
      <c r="N280" s="124" t="str">
        <f>IF(AND(L280=Datenblatt!$B$7,NOT(L279=Datenblatt!$B$7),NOT(L281=Datenblatt!$B$7)),"y",IF(AND(L280=Datenblatt!$B$7,L281=Datenblatt!$B$7,NOT(L279=Datenblatt!$B$7)),"a",IF(AND(L280=Datenblatt!$B$7,L279=Datenblatt!$B$7,NOT(L281=Datenblatt!$B$7)),"b","")))</f>
        <v/>
      </c>
      <c r="O280" s="19" t="str">
        <f t="shared" si="143"/>
        <v/>
      </c>
      <c r="P280" s="124" t="str">
        <f>IF(AND(M280=Datenblatt!$B$7,NOT(M279=Datenblatt!$B$7),NOT(M281=Datenblatt!$B$7)),"y",IF(AND(M280=Datenblatt!$B$7,M281=Datenblatt!$B$7,NOT(M279=Datenblatt!$B$7)),"a",IF(AND(M280=Datenblatt!$B$7,M279=Datenblatt!$B$7,NOT(M281=Datenblatt!$B$7)),"b","")))</f>
        <v/>
      </c>
      <c r="Q280" s="19" t="str">
        <f t="shared" si="144"/>
        <v/>
      </c>
      <c r="R280" s="124" t="str">
        <f>IF(I280="","",IF(AND(OR(J280="Krankenstand",J280="Urlaub",J280=""), AND(G280=0,NOT(I280=""))),Datenblatt!$B$7,""))</f>
        <v/>
      </c>
      <c r="S280" s="19" t="str">
        <f>IF(OR(J280="Krankenstand",J280="Urlaub"),"",IF(J280="","",VLOOKUP(D280,Dienste!C:W,21,)))</f>
        <v/>
      </c>
      <c r="T280" s="18" t="str">
        <f>IF(OR(J280="Krankenstand",J280="Urlaub"),"",IF(J280="","",VLOOKUP(D280,Dienste!C:W,5,)))</f>
        <v/>
      </c>
      <c r="U280" s="18" t="str">
        <f>IF(OR(J280="Krankenstand",J280="Urlaub"),"",IF(J280="","",VLOOKUP(D280,Dienste!C:W,6,)))</f>
        <v/>
      </c>
      <c r="V280" s="18" t="str">
        <f>IF(OR(J280="Krankenstand",J280="Urlaub"),"",IF(J280="","",VLOOKUP(D280,Dienste!C:W,7,)))</f>
        <v/>
      </c>
      <c r="W280" s="18" t="str">
        <f>IF(OR(J280="Krankenstand",J280="Urlaub"),"",IF(J280="","",VLOOKUP(D280,Dienste!C:W,11,)))</f>
        <v/>
      </c>
      <c r="X280" s="18" t="str">
        <f>IF(OR(J280="Krankenstand",J280="Urlaub"),"",IF(J280="","",VLOOKUP(D280,Dienste!C:W,12,)))</f>
        <v/>
      </c>
      <c r="Y280" s="19" t="str">
        <f>IF(OR(J280="Krankenstand",J280="Urlaub"),"",IF(J280="","",VLOOKUP(D280,Dienste!C:W,14,)))</f>
        <v/>
      </c>
      <c r="Z280" s="20" t="str">
        <f>IF(OR(J280="Krankenstand",J280="Urlaub"),"",IF(J280="","",VLOOKUP(D280,Dienste!C:W,15,)))</f>
        <v/>
      </c>
      <c r="AA280" s="124" t="str">
        <f t="shared" si="135"/>
        <v/>
      </c>
      <c r="AB280" s="19" t="str">
        <f t="shared" si="136"/>
        <v/>
      </c>
      <c r="AC280" s="126" t="str">
        <f>_xlfn.CONCAT(_xlfn.CONCAT(IF(I280="","",_xlfn.CONCAT("FT: ",I280,IF(J280="","","; "))),IF(B280&lt;Datenblatt!$B$9,"",IF(B280="","",IF(NOT(J280=""),SUBSTITUTE(SUBSTITUTE(SUBSTITUTE(J280," mR","")," oR","")," O",""),"")))),IF(AF280="","",_xlfn.CONCAT(CHAR(10),"; ",AF280)))</f>
        <v/>
      </c>
      <c r="AD280" s="124" t="str">
        <f t="shared" si="145"/>
        <v/>
      </c>
      <c r="AE280" s="19">
        <f t="shared" si="137"/>
        <v>0</v>
      </c>
      <c r="AF280" s="156"/>
    </row>
    <row r="281" spans="1:32" s="9" customFormat="1" ht="13">
      <c r="B281" s="6">
        <f t="shared" si="138"/>
        <v>44778</v>
      </c>
      <c r="C281" s="45">
        <f>SMALL(Daten!W:W,COUNTIF(Daten!W:W,"&lt;"&amp;Stundenaufzeichnung!B281+1))</f>
        <v>44578</v>
      </c>
      <c r="D281" s="45" t="str">
        <f t="shared" si="133"/>
        <v/>
      </c>
      <c r="E281" s="8">
        <f t="shared" si="134"/>
        <v>7</v>
      </c>
      <c r="F281" s="8">
        <f t="shared" si="139"/>
        <v>5</v>
      </c>
      <c r="G281" s="8">
        <f>IF(B281="","",VLOOKUP(E281,Datenblatt!$L$2:$N$8,3,FALSE))</f>
        <v>0</v>
      </c>
      <c r="H281" s="8" t="str">
        <f t="shared" si="140"/>
        <v/>
      </c>
      <c r="I281" s="11" t="str">
        <f>IFERROR(VLOOKUP(B281,Datenblatt!$E:$F,2,FALSE),"")</f>
        <v/>
      </c>
      <c r="J281" s="113"/>
      <c r="K281" s="19">
        <f>IF(B281&lt;Datenblatt!$B$9,"",IF(B281="","",IF(G281=0,Datenblatt!$B$7,"")))</f>
        <v>6.67</v>
      </c>
      <c r="L281" s="19" t="str">
        <f t="shared" si="141"/>
        <v/>
      </c>
      <c r="M281" s="124" t="str">
        <f t="shared" si="142"/>
        <v/>
      </c>
      <c r="N281" s="124" t="str">
        <f>IF(AND(L281=Datenblatt!$B$7,NOT(L280=Datenblatt!$B$7),NOT(L282=Datenblatt!$B$7)),"y",IF(AND(L281=Datenblatt!$B$7,L282=Datenblatt!$B$7,NOT(L280=Datenblatt!$B$7)),"a",IF(AND(L281=Datenblatt!$B$7,L280=Datenblatt!$B$7,NOT(L282=Datenblatt!$B$7)),"b","")))</f>
        <v/>
      </c>
      <c r="O281" s="19" t="str">
        <f t="shared" si="143"/>
        <v/>
      </c>
      <c r="P281" s="124" t="str">
        <f>IF(AND(M281=Datenblatt!$B$7,NOT(M280=Datenblatt!$B$7),NOT(M282=Datenblatt!$B$7)),"y",IF(AND(M281=Datenblatt!$B$7,M282=Datenblatt!$B$7,NOT(M280=Datenblatt!$B$7)),"a",IF(AND(M281=Datenblatt!$B$7,M280=Datenblatt!$B$7,NOT(M282=Datenblatt!$B$7)),"b","")))</f>
        <v/>
      </c>
      <c r="Q281" s="19" t="str">
        <f t="shared" si="144"/>
        <v/>
      </c>
      <c r="R281" s="124" t="str">
        <f>IF(I281="","",IF(AND(OR(J281="Krankenstand",J281="Urlaub",J281=""), AND(G281=0,NOT(I281=""))),Datenblatt!$B$7,""))</f>
        <v/>
      </c>
      <c r="S281" s="19" t="str">
        <f>IF(OR(J281="Krankenstand",J281="Urlaub"),"",IF(J281="","",VLOOKUP(D281,Dienste!C:W,21,)))</f>
        <v/>
      </c>
      <c r="T281" s="18" t="str">
        <f>IF(OR(J281="Krankenstand",J281="Urlaub"),"",IF(J281="","",VLOOKUP(D281,Dienste!C:W,5,)))</f>
        <v/>
      </c>
      <c r="U281" s="18" t="str">
        <f>IF(OR(J281="Krankenstand",J281="Urlaub"),"",IF(J281="","",VLOOKUP(D281,Dienste!C:W,6,)))</f>
        <v/>
      </c>
      <c r="V281" s="18" t="str">
        <f>IF(OR(J281="Krankenstand",J281="Urlaub"),"",IF(J281="","",VLOOKUP(D281,Dienste!C:W,7,)))</f>
        <v/>
      </c>
      <c r="W281" s="18" t="str">
        <f>IF(OR(J281="Krankenstand",J281="Urlaub"),"",IF(J281="","",VLOOKUP(D281,Dienste!C:W,11,)))</f>
        <v/>
      </c>
      <c r="X281" s="18" t="str">
        <f>IF(OR(J281="Krankenstand",J281="Urlaub"),"",IF(J281="","",VLOOKUP(D281,Dienste!C:W,12,)))</f>
        <v/>
      </c>
      <c r="Y281" s="19" t="str">
        <f>IF(OR(J281="Krankenstand",J281="Urlaub"),"",IF(J281="","",VLOOKUP(D281,Dienste!C:W,14,)))</f>
        <v/>
      </c>
      <c r="Z281" s="20" t="str">
        <f>IF(OR(J281="Krankenstand",J281="Urlaub"),"",IF(J281="","",VLOOKUP(D281,Dienste!C:W,15,)))</f>
        <v/>
      </c>
      <c r="AA281" s="124" t="str">
        <f t="shared" si="135"/>
        <v/>
      </c>
      <c r="AB281" s="19" t="str">
        <f t="shared" si="136"/>
        <v/>
      </c>
      <c r="AC281" s="126" t="str">
        <f>_xlfn.CONCAT(_xlfn.CONCAT(IF(I281="","",_xlfn.CONCAT("FT: ",I281,IF(J281="","","; "))),IF(B281&lt;Datenblatt!$B$9,"",IF(B281="","",IF(NOT(J281=""),SUBSTITUTE(SUBSTITUTE(SUBSTITUTE(J281," mR","")," oR","")," O",""),"")))),IF(AF281="","",_xlfn.CONCAT(CHAR(10),"; ",AF281)))</f>
        <v/>
      </c>
      <c r="AD281" s="124" t="str">
        <f t="shared" si="145"/>
        <v/>
      </c>
      <c r="AE281" s="19">
        <f t="shared" si="137"/>
        <v>0</v>
      </c>
      <c r="AF281" s="156"/>
    </row>
    <row r="282" spans="1:32" s="9" customFormat="1" ht="13">
      <c r="B282" s="6">
        <f t="shared" si="138"/>
        <v>44779</v>
      </c>
      <c r="C282" s="45">
        <f>SMALL(Daten!W:W,COUNTIF(Daten!W:W,"&lt;"&amp;Stundenaufzeichnung!B282+1))</f>
        <v>44578</v>
      </c>
      <c r="D282" s="45" t="str">
        <f t="shared" si="133"/>
        <v/>
      </c>
      <c r="E282" s="8">
        <f t="shared" si="134"/>
        <v>1</v>
      </c>
      <c r="F282" s="8">
        <f t="shared" si="139"/>
        <v>6</v>
      </c>
      <c r="G282" s="8">
        <f>IF(B282="","",VLOOKUP(E282,Datenblatt!$L$2:$N$8,3,FALSE))</f>
        <v>0</v>
      </c>
      <c r="H282" s="8" t="str">
        <f t="shared" si="140"/>
        <v/>
      </c>
      <c r="I282" s="11" t="str">
        <f>IFERROR(VLOOKUP(B282,Datenblatt!$E:$F,2,FALSE),"")</f>
        <v/>
      </c>
      <c r="J282" s="113"/>
      <c r="K282" s="19">
        <f>IF(B282&lt;Datenblatt!$B$9,"",IF(B282="","",IF(G282=0,Datenblatt!$B$7,"")))</f>
        <v>6.67</v>
      </c>
      <c r="L282" s="19" t="str">
        <f t="shared" si="141"/>
        <v/>
      </c>
      <c r="M282" s="124" t="str">
        <f t="shared" si="142"/>
        <v/>
      </c>
      <c r="N282" s="124" t="str">
        <f>IF(AND(L282=Datenblatt!$B$7,NOT(L281=Datenblatt!$B$7),NOT(L283=Datenblatt!$B$7)),"y",IF(AND(L282=Datenblatt!$B$7,L283=Datenblatt!$B$7,NOT(L281=Datenblatt!$B$7)),"a",IF(AND(L282=Datenblatt!$B$7,L281=Datenblatt!$B$7,NOT(L283=Datenblatt!$B$7)),"b","")))</f>
        <v/>
      </c>
      <c r="O282" s="19" t="str">
        <f t="shared" si="143"/>
        <v/>
      </c>
      <c r="P282" s="124" t="str">
        <f>IF(AND(M282=Datenblatt!$B$7,NOT(M281=Datenblatt!$B$7),NOT(M283=Datenblatt!$B$7)),"y",IF(AND(M282=Datenblatt!$B$7,M283=Datenblatt!$B$7,NOT(M281=Datenblatt!$B$7)),"a",IF(AND(M282=Datenblatt!$B$7,M281=Datenblatt!$B$7,NOT(M283=Datenblatt!$B$7)),"b","")))</f>
        <v/>
      </c>
      <c r="Q282" s="19" t="str">
        <f t="shared" si="144"/>
        <v/>
      </c>
      <c r="R282" s="124" t="str">
        <f>IF(I282="","",IF(AND(OR(J282="Krankenstand",J282="Urlaub",J282=""), AND(G282=0,NOT(I282=""))),Datenblatt!$B$7,""))</f>
        <v/>
      </c>
      <c r="S282" s="19" t="str">
        <f>IF(OR(J282="Krankenstand",J282="Urlaub"),"",IF(J282="","",VLOOKUP(D282,Dienste!C:W,21,)))</f>
        <v/>
      </c>
      <c r="T282" s="18" t="str">
        <f>IF(OR(J282="Krankenstand",J282="Urlaub"),"",IF(J282="","",VLOOKUP(D282,Dienste!C:W,5,)))</f>
        <v/>
      </c>
      <c r="U282" s="18" t="str">
        <f>IF(OR(J282="Krankenstand",J282="Urlaub"),"",IF(J282="","",VLOOKUP(D282,Dienste!C:W,6,)))</f>
        <v/>
      </c>
      <c r="V282" s="18" t="str">
        <f>IF(OR(J282="Krankenstand",J282="Urlaub"),"",IF(J282="","",VLOOKUP(D282,Dienste!C:W,7,)))</f>
        <v/>
      </c>
      <c r="W282" s="18" t="str">
        <f>IF(OR(J282="Krankenstand",J282="Urlaub"),"",IF(J282="","",VLOOKUP(D282,Dienste!C:W,11,)))</f>
        <v/>
      </c>
      <c r="X282" s="18" t="str">
        <f>IF(OR(J282="Krankenstand",J282="Urlaub"),"",IF(J282="","",VLOOKUP(D282,Dienste!C:W,12,)))</f>
        <v/>
      </c>
      <c r="Y282" s="19" t="str">
        <f>IF(OR(J282="Krankenstand",J282="Urlaub"),"",IF(J282="","",VLOOKUP(D282,Dienste!C:W,14,)))</f>
        <v/>
      </c>
      <c r="Z282" s="20" t="str">
        <f>IF(OR(J282="Krankenstand",J282="Urlaub"),"",IF(J282="","",VLOOKUP(D282,Dienste!C:W,15,)))</f>
        <v/>
      </c>
      <c r="AA282" s="124" t="str">
        <f t="shared" si="135"/>
        <v/>
      </c>
      <c r="AB282" s="19" t="str">
        <f t="shared" si="136"/>
        <v/>
      </c>
      <c r="AC282" s="126" t="str">
        <f>_xlfn.CONCAT(_xlfn.CONCAT(IF(I282="","",_xlfn.CONCAT("FT: ",I282,IF(J282="","","; "))),IF(B282&lt;Datenblatt!$B$9,"",IF(B282="","",IF(NOT(J282=""),SUBSTITUTE(SUBSTITUTE(SUBSTITUTE(J282," mR","")," oR","")," O",""),"")))),IF(AF282="","",_xlfn.CONCAT(CHAR(10),"; ",AF282)))</f>
        <v/>
      </c>
      <c r="AD282" s="124" t="str">
        <f t="shared" si="145"/>
        <v/>
      </c>
      <c r="AE282" s="19">
        <f t="shared" si="137"/>
        <v>0</v>
      </c>
      <c r="AF282" s="156"/>
    </row>
    <row r="283" spans="1:32" s="9" customFormat="1" ht="13">
      <c r="B283" s="6">
        <f t="shared" si="138"/>
        <v>44780</v>
      </c>
      <c r="C283" s="45">
        <f>SMALL(Daten!W:W,COUNTIF(Daten!W:W,"&lt;"&amp;Stundenaufzeichnung!B283+1))</f>
        <v>44578</v>
      </c>
      <c r="D283" s="45" t="str">
        <f t="shared" si="133"/>
        <v/>
      </c>
      <c r="E283" s="8">
        <f t="shared" si="134"/>
        <v>2</v>
      </c>
      <c r="F283" s="8">
        <f t="shared" si="139"/>
        <v>7</v>
      </c>
      <c r="G283" s="8">
        <f>IF(B283="","",VLOOKUP(E283,Datenblatt!$L$2:$N$8,3,FALSE))</f>
        <v>1</v>
      </c>
      <c r="H283" s="8" t="str">
        <f t="shared" si="140"/>
        <v>x</v>
      </c>
      <c r="I283" s="11" t="str">
        <f>IFERROR(VLOOKUP(B283,Datenblatt!$E:$F,2,FALSE),"")</f>
        <v/>
      </c>
      <c r="J283" s="113"/>
      <c r="K283" s="19" t="str">
        <f>IF(B283&lt;Datenblatt!$B$9,"",IF(B283="","",IF(G283=0,Datenblatt!$B$7,"")))</f>
        <v/>
      </c>
      <c r="L283" s="19" t="str">
        <f t="shared" si="141"/>
        <v/>
      </c>
      <c r="M283" s="124" t="str">
        <f t="shared" si="142"/>
        <v/>
      </c>
      <c r="N283" s="124" t="str">
        <f>IF(AND(L283=Datenblatt!$B$7,NOT(L282=Datenblatt!$B$7),NOT(L284=Datenblatt!$B$7)),"y",IF(AND(L283=Datenblatt!$B$7,L284=Datenblatt!$B$7,NOT(L282=Datenblatt!$B$7)),"a",IF(AND(L283=Datenblatt!$B$7,L282=Datenblatt!$B$7,NOT(L284=Datenblatt!$B$7)),"b","")))</f>
        <v/>
      </c>
      <c r="O283" s="19" t="str">
        <f t="shared" si="143"/>
        <v/>
      </c>
      <c r="P283" s="124" t="str">
        <f>IF(AND(M283=Datenblatt!$B$7,NOT(M282=Datenblatt!$B$7),NOT(M284=Datenblatt!$B$7)),"y",IF(AND(M283=Datenblatt!$B$7,M284=Datenblatt!$B$7,NOT(M282=Datenblatt!$B$7)),"a",IF(AND(M283=Datenblatt!$B$7,M282=Datenblatt!$B$7,NOT(M284=Datenblatt!$B$7)),"b","")))</f>
        <v/>
      </c>
      <c r="Q283" s="19" t="str">
        <f t="shared" si="144"/>
        <v/>
      </c>
      <c r="R283" s="124" t="str">
        <f>IF(I283="","",IF(AND(OR(J283="Krankenstand",J283="Urlaub",J283=""), AND(G283=0,NOT(I283=""))),Datenblatt!$B$7,""))</f>
        <v/>
      </c>
      <c r="S283" s="19" t="str">
        <f>IF(OR(J283="Krankenstand",J283="Urlaub"),"",IF(J283="","",VLOOKUP(D283,Dienste!C:W,21,)))</f>
        <v/>
      </c>
      <c r="T283" s="18" t="str">
        <f>IF(OR(J283="Krankenstand",J283="Urlaub"),"",IF(J283="","",VLOOKUP(D283,Dienste!C:W,5,)))</f>
        <v/>
      </c>
      <c r="U283" s="18" t="str">
        <f>IF(OR(J283="Krankenstand",J283="Urlaub"),"",IF(J283="","",VLOOKUP(D283,Dienste!C:W,6,)))</f>
        <v/>
      </c>
      <c r="V283" s="18" t="str">
        <f>IF(OR(J283="Krankenstand",J283="Urlaub"),"",IF(J283="","",VLOOKUP(D283,Dienste!C:W,7,)))</f>
        <v/>
      </c>
      <c r="W283" s="18" t="str">
        <f>IF(OR(J283="Krankenstand",J283="Urlaub"),"",IF(J283="","",VLOOKUP(D283,Dienste!C:W,11,)))</f>
        <v/>
      </c>
      <c r="X283" s="18" t="str">
        <f>IF(OR(J283="Krankenstand",J283="Urlaub"),"",IF(J283="","",VLOOKUP(D283,Dienste!C:W,12,)))</f>
        <v/>
      </c>
      <c r="Y283" s="19" t="str">
        <f>IF(OR(J283="Krankenstand",J283="Urlaub"),"",IF(J283="","",VLOOKUP(D283,Dienste!C:W,14,)))</f>
        <v/>
      </c>
      <c r="Z283" s="20" t="str">
        <f>IF(OR(J283="Krankenstand",J283="Urlaub"),"",IF(J283="","",VLOOKUP(D283,Dienste!C:W,15,)))</f>
        <v/>
      </c>
      <c r="AA283" s="124" t="str">
        <f t="shared" si="135"/>
        <v/>
      </c>
      <c r="AB283" s="19" t="str">
        <f t="shared" si="136"/>
        <v/>
      </c>
      <c r="AC283" s="126" t="str">
        <f>_xlfn.CONCAT(_xlfn.CONCAT(IF(I283="","",_xlfn.CONCAT("FT: ",I283,IF(J283="","","; "))),IF(B283&lt;Datenblatt!$B$9,"",IF(B283="","",IF(NOT(J283=""),SUBSTITUTE(SUBSTITUTE(SUBSTITUTE(J283," mR","")," oR","")," O",""),"")))),IF(AF283="","",_xlfn.CONCAT(CHAR(10),"; ",AF283)))</f>
        <v/>
      </c>
      <c r="AD283" s="124" t="str">
        <f t="shared" si="145"/>
        <v/>
      </c>
      <c r="AE283" s="19">
        <f t="shared" si="137"/>
        <v>0</v>
      </c>
      <c r="AF283" s="156"/>
    </row>
    <row r="284" spans="1:32" s="9" customFormat="1" ht="13">
      <c r="B284" s="6">
        <f t="shared" si="138"/>
        <v>44781</v>
      </c>
      <c r="C284" s="45">
        <f>SMALL(Daten!W:W,COUNTIF(Daten!W:W,"&lt;"&amp;Stundenaufzeichnung!B284+1))</f>
        <v>44578</v>
      </c>
      <c r="D284" s="45" t="str">
        <f t="shared" si="133"/>
        <v/>
      </c>
      <c r="E284" s="8">
        <f t="shared" si="134"/>
        <v>3</v>
      </c>
      <c r="F284" s="8">
        <f t="shared" si="139"/>
        <v>1</v>
      </c>
      <c r="G284" s="8">
        <f>IF(B284="","",VLOOKUP(E284,Datenblatt!$L$2:$N$8,3,FALSE))</f>
        <v>0</v>
      </c>
      <c r="H284" s="8" t="str">
        <f t="shared" si="140"/>
        <v/>
      </c>
      <c r="I284" s="11" t="str">
        <f>IFERROR(VLOOKUP(B284,Datenblatt!$E:$F,2,FALSE),"")</f>
        <v/>
      </c>
      <c r="J284" s="113"/>
      <c r="K284" s="19">
        <f>IF(B284&lt;Datenblatt!$B$9,"",IF(B284="","",IF(G284=0,Datenblatt!$B$7,"")))</f>
        <v>6.67</v>
      </c>
      <c r="L284" s="19" t="str">
        <f t="shared" si="141"/>
        <v/>
      </c>
      <c r="M284" s="124" t="str">
        <f t="shared" si="142"/>
        <v/>
      </c>
      <c r="N284" s="124" t="str">
        <f>IF(AND(L284=Datenblatt!$B$7,NOT(L283=Datenblatt!$B$7),NOT(L285=Datenblatt!$B$7)),"y",IF(AND(L284=Datenblatt!$B$7,L285=Datenblatt!$B$7,NOT(L283=Datenblatt!$B$7)),"a",IF(AND(L284=Datenblatt!$B$7,L283=Datenblatt!$B$7,NOT(L285=Datenblatt!$B$7)),"b","")))</f>
        <v/>
      </c>
      <c r="O284" s="19" t="str">
        <f t="shared" si="143"/>
        <v/>
      </c>
      <c r="P284" s="124" t="str">
        <f>IF(AND(M284=Datenblatt!$B$7,NOT(M283=Datenblatt!$B$7),NOT(M285=Datenblatt!$B$7)),"y",IF(AND(M284=Datenblatt!$B$7,M285=Datenblatt!$B$7,NOT(M283=Datenblatt!$B$7)),"a",IF(AND(M284=Datenblatt!$B$7,M283=Datenblatt!$B$7,NOT(M285=Datenblatt!$B$7)),"b","")))</f>
        <v/>
      </c>
      <c r="Q284" s="19" t="str">
        <f t="shared" si="144"/>
        <v/>
      </c>
      <c r="R284" s="124" t="str">
        <f>IF(I284="","",IF(AND(OR(J284="Krankenstand",J284="Urlaub",J284=""), AND(G284=0,NOT(I284=""))),Datenblatt!$B$7,""))</f>
        <v/>
      </c>
      <c r="S284" s="19" t="str">
        <f>IF(OR(J284="Krankenstand",J284="Urlaub"),"",IF(J284="","",VLOOKUP(D284,Dienste!C:W,21,)))</f>
        <v/>
      </c>
      <c r="T284" s="18" t="str">
        <f>IF(OR(J284="Krankenstand",J284="Urlaub"),"",IF(J284="","",VLOOKUP(D284,Dienste!C:W,5,)))</f>
        <v/>
      </c>
      <c r="U284" s="18" t="str">
        <f>IF(OR(J284="Krankenstand",J284="Urlaub"),"",IF(J284="","",VLOOKUP(D284,Dienste!C:W,6,)))</f>
        <v/>
      </c>
      <c r="V284" s="18" t="str">
        <f>IF(OR(J284="Krankenstand",J284="Urlaub"),"",IF(J284="","",VLOOKUP(D284,Dienste!C:W,7,)))</f>
        <v/>
      </c>
      <c r="W284" s="18" t="str">
        <f>IF(OR(J284="Krankenstand",J284="Urlaub"),"",IF(J284="","",VLOOKUP(D284,Dienste!C:W,11,)))</f>
        <v/>
      </c>
      <c r="X284" s="18" t="str">
        <f>IF(OR(J284="Krankenstand",J284="Urlaub"),"",IF(J284="","",VLOOKUP(D284,Dienste!C:W,12,)))</f>
        <v/>
      </c>
      <c r="Y284" s="19" t="str">
        <f>IF(OR(J284="Krankenstand",J284="Urlaub"),"",IF(J284="","",VLOOKUP(D284,Dienste!C:W,14,)))</f>
        <v/>
      </c>
      <c r="Z284" s="20" t="str">
        <f>IF(OR(J284="Krankenstand",J284="Urlaub"),"",IF(J284="","",VLOOKUP(D284,Dienste!C:W,15,)))</f>
        <v/>
      </c>
      <c r="AA284" s="124" t="str">
        <f t="shared" si="135"/>
        <v/>
      </c>
      <c r="AB284" s="19" t="str">
        <f t="shared" si="136"/>
        <v/>
      </c>
      <c r="AC284" s="126" t="str">
        <f>_xlfn.CONCAT(_xlfn.CONCAT(IF(I284="","",_xlfn.CONCAT("FT: ",I284,IF(J284="","","; "))),IF(B284&lt;Datenblatt!$B$9,"",IF(B284="","",IF(NOT(J284=""),SUBSTITUTE(SUBSTITUTE(SUBSTITUTE(J284," mR","")," oR","")," O",""),"")))),IF(AF284="","",_xlfn.CONCAT(CHAR(10),"; ",AF284)))</f>
        <v/>
      </c>
      <c r="AD284" s="124" t="str">
        <f t="shared" si="145"/>
        <v/>
      </c>
      <c r="AE284" s="19">
        <f t="shared" si="137"/>
        <v>0</v>
      </c>
      <c r="AF284" s="156"/>
    </row>
    <row r="285" spans="1:32" s="9" customFormat="1" ht="13">
      <c r="B285" s="6">
        <f t="shared" si="138"/>
        <v>44782</v>
      </c>
      <c r="C285" s="45">
        <f>SMALL(Daten!W:W,COUNTIF(Daten!W:W,"&lt;"&amp;Stundenaufzeichnung!B285+1))</f>
        <v>44578</v>
      </c>
      <c r="D285" s="45" t="str">
        <f t="shared" si="133"/>
        <v/>
      </c>
      <c r="E285" s="8">
        <f t="shared" si="134"/>
        <v>4</v>
      </c>
      <c r="F285" s="8">
        <f t="shared" si="139"/>
        <v>2</v>
      </c>
      <c r="G285" s="8">
        <f>IF(B285="","",VLOOKUP(E285,Datenblatt!$L$2:$N$8,3,FALSE))</f>
        <v>0</v>
      </c>
      <c r="H285" s="8" t="str">
        <f t="shared" si="140"/>
        <v/>
      </c>
      <c r="I285" s="11" t="str">
        <f>IFERROR(VLOOKUP(B285,Datenblatt!$E:$F,2,FALSE),"")</f>
        <v/>
      </c>
      <c r="J285" s="113"/>
      <c r="K285" s="19">
        <f>IF(B285&lt;Datenblatt!$B$9,"",IF(B285="","",IF(G285=0,Datenblatt!$B$7,"")))</f>
        <v>6.67</v>
      </c>
      <c r="L285" s="19" t="str">
        <f t="shared" si="141"/>
        <v/>
      </c>
      <c r="M285" s="124" t="str">
        <f t="shared" si="142"/>
        <v/>
      </c>
      <c r="N285" s="124" t="str">
        <f>IF(AND(L285=Datenblatt!$B$7,NOT(L284=Datenblatt!$B$7),NOT(L286=Datenblatt!$B$7)),"y",IF(AND(L285=Datenblatt!$B$7,L286=Datenblatt!$B$7,NOT(L284=Datenblatt!$B$7)),"a",IF(AND(L285=Datenblatt!$B$7,L284=Datenblatt!$B$7,NOT(L286=Datenblatt!$B$7)),"b","")))</f>
        <v/>
      </c>
      <c r="O285" s="19" t="str">
        <f t="shared" si="143"/>
        <v/>
      </c>
      <c r="P285" s="124" t="str">
        <f>IF(AND(M285=Datenblatt!$B$7,NOT(M284=Datenblatt!$B$7),NOT(M286=Datenblatt!$B$7)),"y",IF(AND(M285=Datenblatt!$B$7,M286=Datenblatt!$B$7,NOT(M284=Datenblatt!$B$7)),"a",IF(AND(M285=Datenblatt!$B$7,M284=Datenblatt!$B$7,NOT(M286=Datenblatt!$B$7)),"b","")))</f>
        <v/>
      </c>
      <c r="Q285" s="19" t="str">
        <f t="shared" si="144"/>
        <v/>
      </c>
      <c r="R285" s="124" t="str">
        <f>IF(I285="","",IF(AND(OR(J285="Krankenstand",J285="Urlaub",J285=""), AND(G285=0,NOT(I285=""))),Datenblatt!$B$7,""))</f>
        <v/>
      </c>
      <c r="S285" s="19" t="str">
        <f>IF(OR(J285="Krankenstand",J285="Urlaub"),"",IF(J285="","",VLOOKUP(D285,Dienste!C:W,21,)))</f>
        <v/>
      </c>
      <c r="T285" s="18" t="str">
        <f>IF(OR(J285="Krankenstand",J285="Urlaub"),"",IF(J285="","",VLOOKUP(D285,Dienste!C:W,5,)))</f>
        <v/>
      </c>
      <c r="U285" s="18" t="str">
        <f>IF(OR(J285="Krankenstand",J285="Urlaub"),"",IF(J285="","",VLOOKUP(D285,Dienste!C:W,6,)))</f>
        <v/>
      </c>
      <c r="V285" s="18" t="str">
        <f>IF(OR(J285="Krankenstand",J285="Urlaub"),"",IF(J285="","",VLOOKUP(D285,Dienste!C:W,7,)))</f>
        <v/>
      </c>
      <c r="W285" s="18" t="str">
        <f>IF(OR(J285="Krankenstand",J285="Urlaub"),"",IF(J285="","",VLOOKUP(D285,Dienste!C:W,11,)))</f>
        <v/>
      </c>
      <c r="X285" s="18" t="str">
        <f>IF(OR(J285="Krankenstand",J285="Urlaub"),"",IF(J285="","",VLOOKUP(D285,Dienste!C:W,12,)))</f>
        <v/>
      </c>
      <c r="Y285" s="19" t="str">
        <f>IF(OR(J285="Krankenstand",J285="Urlaub"),"",IF(J285="","",VLOOKUP(D285,Dienste!C:W,14,)))</f>
        <v/>
      </c>
      <c r="Z285" s="20" t="str">
        <f>IF(OR(J285="Krankenstand",J285="Urlaub"),"",IF(J285="","",VLOOKUP(D285,Dienste!C:W,15,)))</f>
        <v/>
      </c>
      <c r="AA285" s="124" t="str">
        <f t="shared" si="135"/>
        <v/>
      </c>
      <c r="AB285" s="19" t="str">
        <f t="shared" si="136"/>
        <v/>
      </c>
      <c r="AC285" s="126" t="str">
        <f>_xlfn.CONCAT(_xlfn.CONCAT(IF(I285="","",_xlfn.CONCAT("FT: ",I285,IF(J285="","","; "))),IF(B285&lt;Datenblatt!$B$9,"",IF(B285="","",IF(NOT(J285=""),SUBSTITUTE(SUBSTITUTE(SUBSTITUTE(J285," mR","")," oR","")," O",""),"")))),IF(AF285="","",_xlfn.CONCAT(CHAR(10),"; ",AF285)))</f>
        <v/>
      </c>
      <c r="AD285" s="124" t="str">
        <f t="shared" si="145"/>
        <v/>
      </c>
      <c r="AE285" s="19">
        <f t="shared" si="137"/>
        <v>0</v>
      </c>
      <c r="AF285" s="156"/>
    </row>
    <row r="286" spans="1:32" s="9" customFormat="1" ht="13">
      <c r="B286" s="6">
        <f t="shared" si="138"/>
        <v>44783</v>
      </c>
      <c r="C286" s="45">
        <f>SMALL(Daten!W:W,COUNTIF(Daten!W:W,"&lt;"&amp;Stundenaufzeichnung!B286+1))</f>
        <v>44578</v>
      </c>
      <c r="D286" s="45" t="str">
        <f t="shared" si="133"/>
        <v/>
      </c>
      <c r="E286" s="8">
        <f t="shared" si="134"/>
        <v>5</v>
      </c>
      <c r="F286" s="8">
        <f t="shared" si="139"/>
        <v>3</v>
      </c>
      <c r="G286" s="8">
        <f>IF(B286="","",VLOOKUP(E286,Datenblatt!$L$2:$N$8,3,FALSE))</f>
        <v>0</v>
      </c>
      <c r="H286" s="8" t="str">
        <f t="shared" si="140"/>
        <v/>
      </c>
      <c r="I286" s="11" t="str">
        <f>IFERROR(VLOOKUP(B286,Datenblatt!$E:$F,2,FALSE),"")</f>
        <v/>
      </c>
      <c r="J286" s="113"/>
      <c r="K286" s="19">
        <f>IF(B286&lt;Datenblatt!$B$9,"",IF(B286="","",IF(G286=0,Datenblatt!$B$7,"")))</f>
        <v>6.67</v>
      </c>
      <c r="L286" s="19" t="str">
        <f t="shared" si="141"/>
        <v/>
      </c>
      <c r="M286" s="124" t="str">
        <f t="shared" si="142"/>
        <v/>
      </c>
      <c r="N286" s="124" t="str">
        <f>IF(AND(L286=Datenblatt!$B$7,NOT(L285=Datenblatt!$B$7),NOT(L287=Datenblatt!$B$7)),"y",IF(AND(L286=Datenblatt!$B$7,L287=Datenblatt!$B$7,NOT(L285=Datenblatt!$B$7)),"a",IF(AND(L286=Datenblatt!$B$7,L285=Datenblatt!$B$7,NOT(L287=Datenblatt!$B$7)),"b","")))</f>
        <v/>
      </c>
      <c r="O286" s="19" t="str">
        <f t="shared" si="143"/>
        <v/>
      </c>
      <c r="P286" s="124" t="str">
        <f>IF(AND(M286=Datenblatt!$B$7,NOT(M285=Datenblatt!$B$7),NOT(M287=Datenblatt!$B$7)),"y",IF(AND(M286=Datenblatt!$B$7,M287=Datenblatt!$B$7,NOT(M285=Datenblatt!$B$7)),"a",IF(AND(M286=Datenblatt!$B$7,M285=Datenblatt!$B$7,NOT(M287=Datenblatt!$B$7)),"b","")))</f>
        <v/>
      </c>
      <c r="Q286" s="19" t="str">
        <f t="shared" si="144"/>
        <v/>
      </c>
      <c r="R286" s="124" t="str">
        <f>IF(I286="","",IF(AND(OR(J286="Krankenstand",J286="Urlaub",J286=""), AND(G286=0,NOT(I286=""))),Datenblatt!$B$7,""))</f>
        <v/>
      </c>
      <c r="S286" s="19" t="str">
        <f>IF(OR(J286="Krankenstand",J286="Urlaub"),"",IF(J286="","",VLOOKUP(D286,Dienste!C:W,21,)))</f>
        <v/>
      </c>
      <c r="T286" s="18" t="str">
        <f>IF(OR(J286="Krankenstand",J286="Urlaub"),"",IF(J286="","",VLOOKUP(D286,Dienste!C:W,5,)))</f>
        <v/>
      </c>
      <c r="U286" s="18" t="str">
        <f>IF(OR(J286="Krankenstand",J286="Urlaub"),"",IF(J286="","",VLOOKUP(D286,Dienste!C:W,6,)))</f>
        <v/>
      </c>
      <c r="V286" s="18" t="str">
        <f>IF(OR(J286="Krankenstand",J286="Urlaub"),"",IF(J286="","",VLOOKUP(D286,Dienste!C:W,7,)))</f>
        <v/>
      </c>
      <c r="W286" s="18" t="str">
        <f>IF(OR(J286="Krankenstand",J286="Urlaub"),"",IF(J286="","",VLOOKUP(D286,Dienste!C:W,11,)))</f>
        <v/>
      </c>
      <c r="X286" s="18" t="str">
        <f>IF(OR(J286="Krankenstand",J286="Urlaub"),"",IF(J286="","",VLOOKUP(D286,Dienste!C:W,12,)))</f>
        <v/>
      </c>
      <c r="Y286" s="19" t="str">
        <f>IF(OR(J286="Krankenstand",J286="Urlaub"),"",IF(J286="","",VLOOKUP(D286,Dienste!C:W,14,)))</f>
        <v/>
      </c>
      <c r="Z286" s="20" t="str">
        <f>IF(OR(J286="Krankenstand",J286="Urlaub"),"",IF(J286="","",VLOOKUP(D286,Dienste!C:W,15,)))</f>
        <v/>
      </c>
      <c r="AA286" s="124" t="str">
        <f t="shared" si="135"/>
        <v/>
      </c>
      <c r="AB286" s="19" t="str">
        <f t="shared" si="136"/>
        <v/>
      </c>
      <c r="AC286" s="126" t="str">
        <f>_xlfn.CONCAT(_xlfn.CONCAT(IF(I286="","",_xlfn.CONCAT("FT: ",I286,IF(J286="","","; "))),IF(B286&lt;Datenblatt!$B$9,"",IF(B286="","",IF(NOT(J286=""),SUBSTITUTE(SUBSTITUTE(SUBSTITUTE(J286," mR","")," oR","")," O",""),"")))),IF(AF286="","",_xlfn.CONCAT(CHAR(10),"; ",AF286)))</f>
        <v/>
      </c>
      <c r="AD286" s="124" t="str">
        <f t="shared" si="145"/>
        <v/>
      </c>
      <c r="AE286" s="19">
        <f t="shared" si="137"/>
        <v>0</v>
      </c>
      <c r="AF286" s="156"/>
    </row>
    <row r="287" spans="1:32" s="9" customFormat="1" ht="13">
      <c r="B287" s="6">
        <f t="shared" si="138"/>
        <v>44784</v>
      </c>
      <c r="C287" s="45">
        <f>SMALL(Daten!W:W,COUNTIF(Daten!W:W,"&lt;"&amp;Stundenaufzeichnung!B287+1))</f>
        <v>44578</v>
      </c>
      <c r="D287" s="45" t="str">
        <f t="shared" si="133"/>
        <v/>
      </c>
      <c r="E287" s="8">
        <f t="shared" si="134"/>
        <v>6</v>
      </c>
      <c r="F287" s="8">
        <f t="shared" si="139"/>
        <v>4</v>
      </c>
      <c r="G287" s="8">
        <f>IF(B287="","",VLOOKUP(E287,Datenblatt!$L$2:$N$8,3,FALSE))</f>
        <v>0</v>
      </c>
      <c r="H287" s="8" t="str">
        <f t="shared" si="140"/>
        <v/>
      </c>
      <c r="I287" s="11" t="str">
        <f>IFERROR(VLOOKUP(B287,Datenblatt!$E:$F,2,FALSE),"")</f>
        <v/>
      </c>
      <c r="J287" s="113"/>
      <c r="K287" s="19">
        <f>IF(B287&lt;Datenblatt!$B$9,"",IF(B287="","",IF(G287=0,Datenblatt!$B$7,"")))</f>
        <v>6.67</v>
      </c>
      <c r="L287" s="19" t="str">
        <f t="shared" si="141"/>
        <v/>
      </c>
      <c r="M287" s="124" t="str">
        <f t="shared" si="142"/>
        <v/>
      </c>
      <c r="N287" s="124" t="str">
        <f>IF(AND(L287=Datenblatt!$B$7,NOT(L286=Datenblatt!$B$7),NOT(L288=Datenblatt!$B$7)),"y",IF(AND(L287=Datenblatt!$B$7,L288=Datenblatt!$B$7,NOT(L286=Datenblatt!$B$7)),"a",IF(AND(L287=Datenblatt!$B$7,L286=Datenblatt!$B$7,NOT(L288=Datenblatt!$B$7)),"b","")))</f>
        <v/>
      </c>
      <c r="O287" s="19" t="str">
        <f t="shared" si="143"/>
        <v/>
      </c>
      <c r="P287" s="124" t="str">
        <f>IF(AND(M287=Datenblatt!$B$7,NOT(M286=Datenblatt!$B$7),NOT(M288=Datenblatt!$B$7)),"y",IF(AND(M287=Datenblatt!$B$7,M288=Datenblatt!$B$7,NOT(M286=Datenblatt!$B$7)),"a",IF(AND(M287=Datenblatt!$B$7,M286=Datenblatt!$B$7,NOT(M288=Datenblatt!$B$7)),"b","")))</f>
        <v/>
      </c>
      <c r="Q287" s="19" t="str">
        <f t="shared" si="144"/>
        <v/>
      </c>
      <c r="R287" s="124" t="str">
        <f>IF(I287="","",IF(AND(OR(J287="Krankenstand",J287="Urlaub",J287=""), AND(G287=0,NOT(I287=""))),Datenblatt!$B$7,""))</f>
        <v/>
      </c>
      <c r="S287" s="19" t="str">
        <f>IF(OR(J287="Krankenstand",J287="Urlaub"),"",IF(J287="","",VLOOKUP(D287,Dienste!C:W,21,)))</f>
        <v/>
      </c>
      <c r="T287" s="18" t="str">
        <f>IF(OR(J287="Krankenstand",J287="Urlaub"),"",IF(J287="","",VLOOKUP(D287,Dienste!C:W,5,)))</f>
        <v/>
      </c>
      <c r="U287" s="18" t="str">
        <f>IF(OR(J287="Krankenstand",J287="Urlaub"),"",IF(J287="","",VLOOKUP(D287,Dienste!C:W,6,)))</f>
        <v/>
      </c>
      <c r="V287" s="18" t="str">
        <f>IF(OR(J287="Krankenstand",J287="Urlaub"),"",IF(J287="","",VLOOKUP(D287,Dienste!C:W,7,)))</f>
        <v/>
      </c>
      <c r="W287" s="18" t="str">
        <f>IF(OR(J287="Krankenstand",J287="Urlaub"),"",IF(J287="","",VLOOKUP(D287,Dienste!C:W,11,)))</f>
        <v/>
      </c>
      <c r="X287" s="18" t="str">
        <f>IF(OR(J287="Krankenstand",J287="Urlaub"),"",IF(J287="","",VLOOKUP(D287,Dienste!C:W,12,)))</f>
        <v/>
      </c>
      <c r="Y287" s="19" t="str">
        <f>IF(OR(J287="Krankenstand",J287="Urlaub"),"",IF(J287="","",VLOOKUP(D287,Dienste!C:W,14,)))</f>
        <v/>
      </c>
      <c r="Z287" s="20" t="str">
        <f>IF(OR(J287="Krankenstand",J287="Urlaub"),"",IF(J287="","",VLOOKUP(D287,Dienste!C:W,15,)))</f>
        <v/>
      </c>
      <c r="AA287" s="124" t="str">
        <f t="shared" si="135"/>
        <v/>
      </c>
      <c r="AB287" s="19" t="str">
        <f t="shared" si="136"/>
        <v/>
      </c>
      <c r="AC287" s="126" t="str">
        <f>_xlfn.CONCAT(_xlfn.CONCAT(IF(I287="","",_xlfn.CONCAT("FT: ",I287,IF(J287="","","; "))),IF(B287&lt;Datenblatt!$B$9,"",IF(B287="","",IF(NOT(J287=""),SUBSTITUTE(SUBSTITUTE(SUBSTITUTE(J287," mR","")," oR","")," O",""),"")))),IF(AF287="","",_xlfn.CONCAT(CHAR(10),"; ",AF287)))</f>
        <v/>
      </c>
      <c r="AD287" s="124" t="str">
        <f t="shared" si="145"/>
        <v/>
      </c>
      <c r="AE287" s="19">
        <f t="shared" si="137"/>
        <v>0</v>
      </c>
      <c r="AF287" s="156"/>
    </row>
    <row r="288" spans="1:32" s="9" customFormat="1" ht="13">
      <c r="B288" s="6">
        <f t="shared" si="138"/>
        <v>44785</v>
      </c>
      <c r="C288" s="45">
        <f>SMALL(Daten!W:W,COUNTIF(Daten!W:W,"&lt;"&amp;Stundenaufzeichnung!B288+1))</f>
        <v>44578</v>
      </c>
      <c r="D288" s="45" t="str">
        <f t="shared" si="133"/>
        <v/>
      </c>
      <c r="E288" s="8">
        <f t="shared" si="134"/>
        <v>7</v>
      </c>
      <c r="F288" s="8">
        <f t="shared" si="139"/>
        <v>5</v>
      </c>
      <c r="G288" s="8">
        <f>IF(B288="","",VLOOKUP(E288,Datenblatt!$L$2:$N$8,3,FALSE))</f>
        <v>0</v>
      </c>
      <c r="H288" s="8" t="str">
        <f t="shared" si="140"/>
        <v/>
      </c>
      <c r="I288" s="11" t="str">
        <f>IFERROR(VLOOKUP(B288,Datenblatt!$E:$F,2,FALSE),"")</f>
        <v/>
      </c>
      <c r="J288" s="113"/>
      <c r="K288" s="19">
        <f>IF(B288&lt;Datenblatt!$B$9,"",IF(B288="","",IF(G288=0,Datenblatt!$B$7,"")))</f>
        <v>6.67</v>
      </c>
      <c r="L288" s="19" t="str">
        <f t="shared" si="141"/>
        <v/>
      </c>
      <c r="M288" s="124" t="str">
        <f t="shared" si="142"/>
        <v/>
      </c>
      <c r="N288" s="124" t="str">
        <f>IF(AND(L288=Datenblatt!$B$7,NOT(L287=Datenblatt!$B$7),NOT(L289=Datenblatt!$B$7)),"y",IF(AND(L288=Datenblatt!$B$7,L289=Datenblatt!$B$7,NOT(L287=Datenblatt!$B$7)),"a",IF(AND(L288=Datenblatt!$B$7,L287=Datenblatt!$B$7,NOT(L289=Datenblatt!$B$7)),"b","")))</f>
        <v/>
      </c>
      <c r="O288" s="19" t="str">
        <f t="shared" si="143"/>
        <v/>
      </c>
      <c r="P288" s="124" t="str">
        <f>IF(AND(M288=Datenblatt!$B$7,NOT(M287=Datenblatt!$B$7),NOT(M289=Datenblatt!$B$7)),"y",IF(AND(M288=Datenblatt!$B$7,M289=Datenblatt!$B$7,NOT(M287=Datenblatt!$B$7)),"a",IF(AND(M288=Datenblatt!$B$7,M287=Datenblatt!$B$7,NOT(M289=Datenblatt!$B$7)),"b","")))</f>
        <v/>
      </c>
      <c r="Q288" s="19" t="str">
        <f t="shared" si="144"/>
        <v/>
      </c>
      <c r="R288" s="124" t="str">
        <f>IF(I288="","",IF(AND(OR(J288="Krankenstand",J288="Urlaub",J288=""), AND(G288=0,NOT(I288=""))),Datenblatt!$B$7,""))</f>
        <v/>
      </c>
      <c r="S288" s="19" t="str">
        <f>IF(OR(J288="Krankenstand",J288="Urlaub"),"",IF(J288="","",VLOOKUP(D288,Dienste!C:W,21,)))</f>
        <v/>
      </c>
      <c r="T288" s="18" t="str">
        <f>IF(OR(J288="Krankenstand",J288="Urlaub"),"",IF(J288="","",VLOOKUP(D288,Dienste!C:W,5,)))</f>
        <v/>
      </c>
      <c r="U288" s="18" t="str">
        <f>IF(OR(J288="Krankenstand",J288="Urlaub"),"",IF(J288="","",VLOOKUP(D288,Dienste!C:W,6,)))</f>
        <v/>
      </c>
      <c r="V288" s="18" t="str">
        <f>IF(OR(J288="Krankenstand",J288="Urlaub"),"",IF(J288="","",VLOOKUP(D288,Dienste!C:W,7,)))</f>
        <v/>
      </c>
      <c r="W288" s="18" t="str">
        <f>IF(OR(J288="Krankenstand",J288="Urlaub"),"",IF(J288="","",VLOOKUP(D288,Dienste!C:W,11,)))</f>
        <v/>
      </c>
      <c r="X288" s="18" t="str">
        <f>IF(OR(J288="Krankenstand",J288="Urlaub"),"",IF(J288="","",VLOOKUP(D288,Dienste!C:W,12,)))</f>
        <v/>
      </c>
      <c r="Y288" s="19" t="str">
        <f>IF(OR(J288="Krankenstand",J288="Urlaub"),"",IF(J288="","",VLOOKUP(D288,Dienste!C:W,14,)))</f>
        <v/>
      </c>
      <c r="Z288" s="20" t="str">
        <f>IF(OR(J288="Krankenstand",J288="Urlaub"),"",IF(J288="","",VLOOKUP(D288,Dienste!C:W,15,)))</f>
        <v/>
      </c>
      <c r="AA288" s="124" t="str">
        <f t="shared" si="135"/>
        <v/>
      </c>
      <c r="AB288" s="19" t="str">
        <f t="shared" si="136"/>
        <v/>
      </c>
      <c r="AC288" s="126" t="str">
        <f>_xlfn.CONCAT(_xlfn.CONCAT(IF(I288="","",_xlfn.CONCAT("FT: ",I288,IF(J288="","","; "))),IF(B288&lt;Datenblatt!$B$9,"",IF(B288="","",IF(NOT(J288=""),SUBSTITUTE(SUBSTITUTE(SUBSTITUTE(J288," mR","")," oR","")," O",""),"")))),IF(AF288="","",_xlfn.CONCAT(CHAR(10),"; ",AF288)))</f>
        <v/>
      </c>
      <c r="AD288" s="124" t="str">
        <f t="shared" si="145"/>
        <v/>
      </c>
      <c r="AE288" s="19">
        <f t="shared" si="137"/>
        <v>0</v>
      </c>
      <c r="AF288" s="156"/>
    </row>
    <row r="289" spans="2:32" s="9" customFormat="1" ht="13">
      <c r="B289" s="6">
        <f t="shared" si="138"/>
        <v>44786</v>
      </c>
      <c r="C289" s="45">
        <f>SMALL(Daten!W:W,COUNTIF(Daten!W:W,"&lt;"&amp;Stundenaufzeichnung!B289+1))</f>
        <v>44578</v>
      </c>
      <c r="D289" s="45" t="str">
        <f t="shared" si="133"/>
        <v/>
      </c>
      <c r="E289" s="8">
        <f t="shared" si="134"/>
        <v>1</v>
      </c>
      <c r="F289" s="8">
        <f t="shared" si="139"/>
        <v>6</v>
      </c>
      <c r="G289" s="8">
        <f>IF(B289="","",VLOOKUP(E289,Datenblatt!$L$2:$N$8,3,FALSE))</f>
        <v>0</v>
      </c>
      <c r="H289" s="8" t="str">
        <f t="shared" si="140"/>
        <v/>
      </c>
      <c r="I289" s="11" t="str">
        <f>IFERROR(VLOOKUP(B289,Datenblatt!$E:$F,2,FALSE),"")</f>
        <v/>
      </c>
      <c r="J289" s="113"/>
      <c r="K289" s="19">
        <f>IF(B289&lt;Datenblatt!$B$9,"",IF(B289="","",IF(G289=0,Datenblatt!$B$7,"")))</f>
        <v>6.67</v>
      </c>
      <c r="L289" s="19" t="str">
        <f t="shared" si="141"/>
        <v/>
      </c>
      <c r="M289" s="124" t="str">
        <f t="shared" si="142"/>
        <v/>
      </c>
      <c r="N289" s="124" t="str">
        <f>IF(AND(L289=Datenblatt!$B$7,NOT(L288=Datenblatt!$B$7),NOT(L290=Datenblatt!$B$7)),"y",IF(AND(L289=Datenblatt!$B$7,L290=Datenblatt!$B$7,NOT(L288=Datenblatt!$B$7)),"a",IF(AND(L289=Datenblatt!$B$7,L288=Datenblatt!$B$7,NOT(L290=Datenblatt!$B$7)),"b","")))</f>
        <v/>
      </c>
      <c r="O289" s="19" t="str">
        <f t="shared" si="143"/>
        <v/>
      </c>
      <c r="P289" s="124" t="str">
        <f>IF(AND(M289=Datenblatt!$B$7,NOT(M288=Datenblatt!$B$7),NOT(M290=Datenblatt!$B$7)),"y",IF(AND(M289=Datenblatt!$B$7,M290=Datenblatt!$B$7,NOT(M288=Datenblatt!$B$7)),"a",IF(AND(M289=Datenblatt!$B$7,M288=Datenblatt!$B$7,NOT(M290=Datenblatt!$B$7)),"b","")))</f>
        <v/>
      </c>
      <c r="Q289" s="19" t="str">
        <f t="shared" si="144"/>
        <v/>
      </c>
      <c r="R289" s="124" t="str">
        <f>IF(I289="","",IF(AND(OR(J289="Krankenstand",J289="Urlaub",J289=""), AND(G289=0,NOT(I289=""))),Datenblatt!$B$7,""))</f>
        <v/>
      </c>
      <c r="S289" s="19" t="str">
        <f>IF(OR(J289="Krankenstand",J289="Urlaub"),"",IF(J289="","",VLOOKUP(D289,Dienste!C:W,21,)))</f>
        <v/>
      </c>
      <c r="T289" s="18" t="str">
        <f>IF(OR(J289="Krankenstand",J289="Urlaub"),"",IF(J289="","",VLOOKUP(D289,Dienste!C:W,5,)))</f>
        <v/>
      </c>
      <c r="U289" s="18" t="str">
        <f>IF(OR(J289="Krankenstand",J289="Urlaub"),"",IF(J289="","",VLOOKUP(D289,Dienste!C:W,6,)))</f>
        <v/>
      </c>
      <c r="V289" s="18" t="str">
        <f>IF(OR(J289="Krankenstand",J289="Urlaub"),"",IF(J289="","",VLOOKUP(D289,Dienste!C:W,7,)))</f>
        <v/>
      </c>
      <c r="W289" s="18" t="str">
        <f>IF(OR(J289="Krankenstand",J289="Urlaub"),"",IF(J289="","",VLOOKUP(D289,Dienste!C:W,11,)))</f>
        <v/>
      </c>
      <c r="X289" s="18" t="str">
        <f>IF(OR(J289="Krankenstand",J289="Urlaub"),"",IF(J289="","",VLOOKUP(D289,Dienste!C:W,12,)))</f>
        <v/>
      </c>
      <c r="Y289" s="19" t="str">
        <f>IF(OR(J289="Krankenstand",J289="Urlaub"),"",IF(J289="","",VLOOKUP(D289,Dienste!C:W,14,)))</f>
        <v/>
      </c>
      <c r="Z289" s="20" t="str">
        <f>IF(OR(J289="Krankenstand",J289="Urlaub"),"",IF(J289="","",VLOOKUP(D289,Dienste!C:W,15,)))</f>
        <v/>
      </c>
      <c r="AA289" s="124" t="str">
        <f t="shared" si="135"/>
        <v/>
      </c>
      <c r="AB289" s="19" t="str">
        <f t="shared" si="136"/>
        <v/>
      </c>
      <c r="AC289" s="126" t="str">
        <f>_xlfn.CONCAT(_xlfn.CONCAT(IF(I289="","",_xlfn.CONCAT("FT: ",I289,IF(J289="","","; "))),IF(B289&lt;Datenblatt!$B$9,"",IF(B289="","",IF(NOT(J289=""),SUBSTITUTE(SUBSTITUTE(SUBSTITUTE(J289," mR","")," oR","")," O",""),"")))),IF(AF289="","",_xlfn.CONCAT(CHAR(10),"; ",AF289)))</f>
        <v/>
      </c>
      <c r="AD289" s="124" t="str">
        <f t="shared" si="145"/>
        <v/>
      </c>
      <c r="AE289" s="19">
        <f t="shared" si="137"/>
        <v>0</v>
      </c>
      <c r="AF289" s="156"/>
    </row>
    <row r="290" spans="2:32" s="9" customFormat="1" ht="13">
      <c r="B290" s="6">
        <f t="shared" si="138"/>
        <v>44787</v>
      </c>
      <c r="C290" s="45">
        <f>SMALL(Daten!W:W,COUNTIF(Daten!W:W,"&lt;"&amp;Stundenaufzeichnung!B290+1))</f>
        <v>44578</v>
      </c>
      <c r="D290" s="45" t="str">
        <f t="shared" si="133"/>
        <v/>
      </c>
      <c r="E290" s="8">
        <f t="shared" si="134"/>
        <v>2</v>
      </c>
      <c r="F290" s="8">
        <f t="shared" si="139"/>
        <v>7</v>
      </c>
      <c r="G290" s="8">
        <f>IF(B290="","",VLOOKUP(E290,Datenblatt!$L$2:$N$8,3,FALSE))</f>
        <v>1</v>
      </c>
      <c r="H290" s="8" t="str">
        <f t="shared" si="140"/>
        <v>x</v>
      </c>
      <c r="I290" s="11" t="str">
        <f>IFERROR(VLOOKUP(B290,Datenblatt!$E:$F,2,FALSE),"")</f>
        <v/>
      </c>
      <c r="J290" s="113"/>
      <c r="K290" s="19" t="str">
        <f>IF(B290&lt;Datenblatt!$B$9,"",IF(B290="","",IF(G290=0,Datenblatt!$B$7,"")))</f>
        <v/>
      </c>
      <c r="L290" s="19" t="str">
        <f t="shared" si="141"/>
        <v/>
      </c>
      <c r="M290" s="124" t="str">
        <f t="shared" si="142"/>
        <v/>
      </c>
      <c r="N290" s="124" t="str">
        <f>IF(AND(L290=Datenblatt!$B$7,NOT(L289=Datenblatt!$B$7),NOT(L291=Datenblatt!$B$7)),"y",IF(AND(L290=Datenblatt!$B$7,L291=Datenblatt!$B$7,NOT(L289=Datenblatt!$B$7)),"a",IF(AND(L290=Datenblatt!$B$7,L289=Datenblatt!$B$7,NOT(L291=Datenblatt!$B$7)),"b","")))</f>
        <v/>
      </c>
      <c r="O290" s="19" t="str">
        <f t="shared" si="143"/>
        <v/>
      </c>
      <c r="P290" s="124" t="str">
        <f>IF(AND(M290=Datenblatt!$B$7,NOT(M289=Datenblatt!$B$7),NOT(M291=Datenblatt!$B$7)),"y",IF(AND(M290=Datenblatt!$B$7,M291=Datenblatt!$B$7,NOT(M289=Datenblatt!$B$7)),"a",IF(AND(M290=Datenblatt!$B$7,M289=Datenblatt!$B$7,NOT(M291=Datenblatt!$B$7)),"b","")))</f>
        <v/>
      </c>
      <c r="Q290" s="19" t="str">
        <f t="shared" si="144"/>
        <v/>
      </c>
      <c r="R290" s="124" t="str">
        <f>IF(I290="","",IF(AND(OR(J290="Krankenstand",J290="Urlaub",J290=""), AND(G290=0,NOT(I290=""))),Datenblatt!$B$7,""))</f>
        <v/>
      </c>
      <c r="S290" s="19" t="str">
        <f>IF(OR(J290="Krankenstand",J290="Urlaub"),"",IF(J290="","",VLOOKUP(D290,Dienste!C:W,21,)))</f>
        <v/>
      </c>
      <c r="T290" s="18" t="str">
        <f>IF(OR(J290="Krankenstand",J290="Urlaub"),"",IF(J290="","",VLOOKUP(D290,Dienste!C:W,5,)))</f>
        <v/>
      </c>
      <c r="U290" s="18" t="str">
        <f>IF(OR(J290="Krankenstand",J290="Urlaub"),"",IF(J290="","",VLOOKUP(D290,Dienste!C:W,6,)))</f>
        <v/>
      </c>
      <c r="V290" s="18" t="str">
        <f>IF(OR(J290="Krankenstand",J290="Urlaub"),"",IF(J290="","",VLOOKUP(D290,Dienste!C:W,7,)))</f>
        <v/>
      </c>
      <c r="W290" s="18" t="str">
        <f>IF(OR(J290="Krankenstand",J290="Urlaub"),"",IF(J290="","",VLOOKUP(D290,Dienste!C:W,11,)))</f>
        <v/>
      </c>
      <c r="X290" s="18" t="str">
        <f>IF(OR(J290="Krankenstand",J290="Urlaub"),"",IF(J290="","",VLOOKUP(D290,Dienste!C:W,12,)))</f>
        <v/>
      </c>
      <c r="Y290" s="19" t="str">
        <f>IF(OR(J290="Krankenstand",J290="Urlaub"),"",IF(J290="","",VLOOKUP(D290,Dienste!C:W,14,)))</f>
        <v/>
      </c>
      <c r="Z290" s="20" t="str">
        <f>IF(OR(J290="Krankenstand",J290="Urlaub"),"",IF(J290="","",VLOOKUP(D290,Dienste!C:W,15,)))</f>
        <v/>
      </c>
      <c r="AA290" s="124" t="str">
        <f t="shared" si="135"/>
        <v/>
      </c>
      <c r="AB290" s="19" t="str">
        <f t="shared" si="136"/>
        <v/>
      </c>
      <c r="AC290" s="126" t="str">
        <f>_xlfn.CONCAT(_xlfn.CONCAT(IF(I290="","",_xlfn.CONCAT("FT: ",I290,IF(J290="","","; "))),IF(B290&lt;Datenblatt!$B$9,"",IF(B290="","",IF(NOT(J290=""),SUBSTITUTE(SUBSTITUTE(SUBSTITUTE(J290," mR","")," oR","")," O",""),"")))),IF(AF290="","",_xlfn.CONCAT(CHAR(10),"; ",AF290)))</f>
        <v/>
      </c>
      <c r="AD290" s="124" t="str">
        <f t="shared" si="145"/>
        <v/>
      </c>
      <c r="AE290" s="19">
        <f t="shared" si="137"/>
        <v>0</v>
      </c>
      <c r="AF290" s="156"/>
    </row>
    <row r="291" spans="2:32" s="9" customFormat="1" ht="13">
      <c r="B291" s="6">
        <f t="shared" si="138"/>
        <v>44788</v>
      </c>
      <c r="C291" s="45">
        <f>SMALL(Daten!W:W,COUNTIF(Daten!W:W,"&lt;"&amp;Stundenaufzeichnung!B291+1))</f>
        <v>44578</v>
      </c>
      <c r="D291" s="45" t="str">
        <f t="shared" si="133"/>
        <v/>
      </c>
      <c r="E291" s="8">
        <f t="shared" si="134"/>
        <v>3</v>
      </c>
      <c r="F291" s="8">
        <f t="shared" si="139"/>
        <v>1</v>
      </c>
      <c r="G291" s="8">
        <f>IF(B291="","",VLOOKUP(E291,Datenblatt!$L$2:$N$8,3,FALSE))</f>
        <v>0</v>
      </c>
      <c r="H291" s="8" t="str">
        <f t="shared" si="140"/>
        <v>x</v>
      </c>
      <c r="I291" s="11" t="str">
        <f>IFERROR(VLOOKUP(B291,Datenblatt!$E:$F,2,FALSE),"")</f>
        <v>Maria Himmelfahrt</v>
      </c>
      <c r="J291" s="113"/>
      <c r="K291" s="19">
        <f>IF(B291&lt;Datenblatt!$B$9,"",IF(B291="","",IF(G291=0,Datenblatt!$B$7,"")))</f>
        <v>6.67</v>
      </c>
      <c r="L291" s="19" t="str">
        <f t="shared" si="141"/>
        <v/>
      </c>
      <c r="M291" s="124" t="str">
        <f t="shared" si="142"/>
        <v/>
      </c>
      <c r="N291" s="124" t="str">
        <f>IF(AND(L291=Datenblatt!$B$7,NOT(L290=Datenblatt!$B$7),NOT(L292=Datenblatt!$B$7)),"y",IF(AND(L291=Datenblatt!$B$7,L292=Datenblatt!$B$7,NOT(L290=Datenblatt!$B$7)),"a",IF(AND(L291=Datenblatt!$B$7,L290=Datenblatt!$B$7,NOT(L292=Datenblatt!$B$7)),"b","")))</f>
        <v/>
      </c>
      <c r="O291" s="19" t="str">
        <f t="shared" si="143"/>
        <v/>
      </c>
      <c r="P291" s="124" t="str">
        <f>IF(AND(M291=Datenblatt!$B$7,NOT(M290=Datenblatt!$B$7),NOT(M292=Datenblatt!$B$7)),"y",IF(AND(M291=Datenblatt!$B$7,M292=Datenblatt!$B$7,NOT(M290=Datenblatt!$B$7)),"a",IF(AND(M291=Datenblatt!$B$7,M290=Datenblatt!$B$7,NOT(M292=Datenblatt!$B$7)),"b","")))</f>
        <v/>
      </c>
      <c r="Q291" s="19" t="str">
        <f t="shared" si="144"/>
        <v/>
      </c>
      <c r="R291" s="124">
        <f>IF(I291="","",IF(AND(OR(J291="Krankenstand",J291="Urlaub",J291=""), AND(G291=0,NOT(I291=""))),Datenblatt!$B$7,""))</f>
        <v>6.67</v>
      </c>
      <c r="S291" s="19" t="str">
        <f>IF(OR(J291="Krankenstand",J291="Urlaub"),"",IF(J291="","",VLOOKUP(D291,Dienste!C:W,21,)))</f>
        <v/>
      </c>
      <c r="T291" s="18" t="str">
        <f>IF(OR(J291="Krankenstand",J291="Urlaub"),"",IF(J291="","",VLOOKUP(D291,Dienste!C:W,5,)))</f>
        <v/>
      </c>
      <c r="U291" s="18" t="str">
        <f>IF(OR(J291="Krankenstand",J291="Urlaub"),"",IF(J291="","",VLOOKUP(D291,Dienste!C:W,6,)))</f>
        <v/>
      </c>
      <c r="V291" s="18" t="str">
        <f>IF(OR(J291="Krankenstand",J291="Urlaub"),"",IF(J291="","",VLOOKUP(D291,Dienste!C:W,7,)))</f>
        <v/>
      </c>
      <c r="W291" s="18" t="str">
        <f>IF(OR(J291="Krankenstand",J291="Urlaub"),"",IF(J291="","",VLOOKUP(D291,Dienste!C:W,11,)))</f>
        <v/>
      </c>
      <c r="X291" s="18" t="str">
        <f>IF(OR(J291="Krankenstand",J291="Urlaub"),"",IF(J291="","",VLOOKUP(D291,Dienste!C:W,12,)))</f>
        <v/>
      </c>
      <c r="Y291" s="19" t="str">
        <f>IF(OR(J291="Krankenstand",J291="Urlaub"),"",IF(J291="","",VLOOKUP(D291,Dienste!C:W,14,)))</f>
        <v/>
      </c>
      <c r="Z291" s="20" t="str">
        <f>IF(OR(J291="Krankenstand",J291="Urlaub"),"",IF(J291="","",VLOOKUP(D291,Dienste!C:W,15,)))</f>
        <v/>
      </c>
      <c r="AA291" s="124" t="str">
        <f t="shared" si="135"/>
        <v/>
      </c>
      <c r="AB291" s="19" t="str">
        <f t="shared" si="136"/>
        <v/>
      </c>
      <c r="AC291" s="126" t="str">
        <f>_xlfn.CONCAT(_xlfn.CONCAT(IF(I291="","",_xlfn.CONCAT("FT: ",I291,IF(J291="","","; "))),IF(B291&lt;Datenblatt!$B$9,"",IF(B291="","",IF(NOT(J291=""),SUBSTITUTE(SUBSTITUTE(SUBSTITUTE(J291," mR","")," oR","")," O",""),"")))),IF(AF291="","",_xlfn.CONCAT(CHAR(10),"; ",AF291)))</f>
        <v>FT: Maria Himmelfahrt</v>
      </c>
      <c r="AD291" s="124">
        <f t="shared" si="145"/>
        <v>6.67</v>
      </c>
      <c r="AE291" s="19">
        <f t="shared" si="137"/>
        <v>0</v>
      </c>
      <c r="AF291" s="156"/>
    </row>
    <row r="292" spans="2:32" s="9" customFormat="1" ht="13">
      <c r="B292" s="6">
        <f t="shared" si="138"/>
        <v>44789</v>
      </c>
      <c r="C292" s="45">
        <f>SMALL(Daten!W:W,COUNTIF(Daten!W:W,"&lt;"&amp;Stundenaufzeichnung!B292+1))</f>
        <v>44578</v>
      </c>
      <c r="D292" s="45" t="str">
        <f t="shared" si="133"/>
        <v/>
      </c>
      <c r="E292" s="8">
        <f t="shared" si="134"/>
        <v>4</v>
      </c>
      <c r="F292" s="8">
        <f t="shared" si="139"/>
        <v>2</v>
      </c>
      <c r="G292" s="8">
        <f>IF(B292="","",VLOOKUP(E292,Datenblatt!$L$2:$N$8,3,FALSE))</f>
        <v>0</v>
      </c>
      <c r="H292" s="8" t="str">
        <f t="shared" si="140"/>
        <v/>
      </c>
      <c r="I292" s="11" t="str">
        <f>IFERROR(VLOOKUP(B292,Datenblatt!$E:$F,2,FALSE),"")</f>
        <v/>
      </c>
      <c r="J292" s="113"/>
      <c r="K292" s="19">
        <f>IF(B292&lt;Datenblatt!$B$9,"",IF(B292="","",IF(G292=0,Datenblatt!$B$7,"")))</f>
        <v>6.67</v>
      </c>
      <c r="L292" s="19" t="str">
        <f t="shared" si="141"/>
        <v/>
      </c>
      <c r="M292" s="124" t="str">
        <f t="shared" si="142"/>
        <v/>
      </c>
      <c r="N292" s="124" t="str">
        <f>IF(AND(L292=Datenblatt!$B$7,NOT(L291=Datenblatt!$B$7),NOT(L293=Datenblatt!$B$7)),"y",IF(AND(L292=Datenblatt!$B$7,L293=Datenblatt!$B$7,NOT(L291=Datenblatt!$B$7)),"a",IF(AND(L292=Datenblatt!$B$7,L291=Datenblatt!$B$7,NOT(L293=Datenblatt!$B$7)),"b","")))</f>
        <v/>
      </c>
      <c r="O292" s="19" t="str">
        <f t="shared" si="143"/>
        <v/>
      </c>
      <c r="P292" s="124" t="str">
        <f>IF(AND(M292=Datenblatt!$B$7,NOT(M291=Datenblatt!$B$7),NOT(M293=Datenblatt!$B$7)),"y",IF(AND(M292=Datenblatt!$B$7,M293=Datenblatt!$B$7,NOT(M291=Datenblatt!$B$7)),"a",IF(AND(M292=Datenblatt!$B$7,M291=Datenblatt!$B$7,NOT(M293=Datenblatt!$B$7)),"b","")))</f>
        <v/>
      </c>
      <c r="Q292" s="19" t="str">
        <f t="shared" si="144"/>
        <v/>
      </c>
      <c r="R292" s="124" t="str">
        <f>IF(I292="","",IF(AND(OR(J292="Krankenstand",J292="Urlaub",J292=""), AND(G292=0,NOT(I292=""))),Datenblatt!$B$7,""))</f>
        <v/>
      </c>
      <c r="S292" s="19" t="str">
        <f>IF(OR(J292="Krankenstand",J292="Urlaub"),"",IF(J292="","",VLOOKUP(D292,Dienste!C:W,21,)))</f>
        <v/>
      </c>
      <c r="T292" s="18" t="str">
        <f>IF(OR(J292="Krankenstand",J292="Urlaub"),"",IF(J292="","",VLOOKUP(D292,Dienste!C:W,5,)))</f>
        <v/>
      </c>
      <c r="U292" s="18" t="str">
        <f>IF(OR(J292="Krankenstand",J292="Urlaub"),"",IF(J292="","",VLOOKUP(D292,Dienste!C:W,6,)))</f>
        <v/>
      </c>
      <c r="V292" s="18" t="str">
        <f>IF(OR(J292="Krankenstand",J292="Urlaub"),"",IF(J292="","",VLOOKUP(D292,Dienste!C:W,7,)))</f>
        <v/>
      </c>
      <c r="W292" s="18" t="str">
        <f>IF(OR(J292="Krankenstand",J292="Urlaub"),"",IF(J292="","",VLOOKUP(D292,Dienste!C:W,11,)))</f>
        <v/>
      </c>
      <c r="X292" s="18" t="str">
        <f>IF(OR(J292="Krankenstand",J292="Urlaub"),"",IF(J292="","",VLOOKUP(D292,Dienste!C:W,12,)))</f>
        <v/>
      </c>
      <c r="Y292" s="19" t="str">
        <f>IF(OR(J292="Krankenstand",J292="Urlaub"),"",IF(J292="","",VLOOKUP(D292,Dienste!C:W,14,)))</f>
        <v/>
      </c>
      <c r="Z292" s="20" t="str">
        <f>IF(OR(J292="Krankenstand",J292="Urlaub"),"",IF(J292="","",VLOOKUP(D292,Dienste!C:W,15,)))</f>
        <v/>
      </c>
      <c r="AA292" s="124" t="str">
        <f t="shared" si="135"/>
        <v/>
      </c>
      <c r="AB292" s="19" t="str">
        <f t="shared" si="136"/>
        <v/>
      </c>
      <c r="AC292" s="126" t="str">
        <f>_xlfn.CONCAT(_xlfn.CONCAT(IF(I292="","",_xlfn.CONCAT("FT: ",I292,IF(J292="","","; "))),IF(B292&lt;Datenblatt!$B$9,"",IF(B292="","",IF(NOT(J292=""),SUBSTITUTE(SUBSTITUTE(SUBSTITUTE(J292," mR","")," oR","")," O",""),"")))),IF(AF292="","",_xlfn.CONCAT(CHAR(10),"; ",AF292)))</f>
        <v/>
      </c>
      <c r="AD292" s="124" t="str">
        <f t="shared" si="145"/>
        <v/>
      </c>
      <c r="AE292" s="19">
        <f t="shared" si="137"/>
        <v>0</v>
      </c>
      <c r="AF292" s="156"/>
    </row>
    <row r="293" spans="2:32" s="9" customFormat="1" ht="13">
      <c r="B293" s="6">
        <f t="shared" si="138"/>
        <v>44790</v>
      </c>
      <c r="C293" s="45">
        <f>SMALL(Daten!W:W,COUNTIF(Daten!W:W,"&lt;"&amp;Stundenaufzeichnung!B293+1))</f>
        <v>44578</v>
      </c>
      <c r="D293" s="45" t="str">
        <f t="shared" si="133"/>
        <v/>
      </c>
      <c r="E293" s="8">
        <f t="shared" si="134"/>
        <v>5</v>
      </c>
      <c r="F293" s="8">
        <f t="shared" si="139"/>
        <v>3</v>
      </c>
      <c r="G293" s="8">
        <f>IF(B293="","",VLOOKUP(E293,Datenblatt!$L$2:$N$8,3,FALSE))</f>
        <v>0</v>
      </c>
      <c r="H293" s="8" t="str">
        <f t="shared" si="140"/>
        <v/>
      </c>
      <c r="I293" s="11" t="str">
        <f>IFERROR(VLOOKUP(B293,Datenblatt!$E:$F,2,FALSE),"")</f>
        <v/>
      </c>
      <c r="J293" s="113"/>
      <c r="K293" s="19">
        <f>IF(B293&lt;Datenblatt!$B$9,"",IF(B293="","",IF(G293=0,Datenblatt!$B$7,"")))</f>
        <v>6.67</v>
      </c>
      <c r="L293" s="19" t="str">
        <f t="shared" si="141"/>
        <v/>
      </c>
      <c r="M293" s="124" t="str">
        <f t="shared" si="142"/>
        <v/>
      </c>
      <c r="N293" s="124" t="str">
        <f>IF(AND(L293=Datenblatt!$B$7,NOT(L292=Datenblatt!$B$7),NOT(L294=Datenblatt!$B$7)),"y",IF(AND(L293=Datenblatt!$B$7,L294=Datenblatt!$B$7,NOT(L292=Datenblatt!$B$7)),"a",IF(AND(L293=Datenblatt!$B$7,L292=Datenblatt!$B$7,NOT(L294=Datenblatt!$B$7)),"b","")))</f>
        <v/>
      </c>
      <c r="O293" s="19" t="str">
        <f t="shared" si="143"/>
        <v/>
      </c>
      <c r="P293" s="124" t="str">
        <f>IF(AND(M293=Datenblatt!$B$7,NOT(M292=Datenblatt!$B$7),NOT(M294=Datenblatt!$B$7)),"y",IF(AND(M293=Datenblatt!$B$7,M294=Datenblatt!$B$7,NOT(M292=Datenblatt!$B$7)),"a",IF(AND(M293=Datenblatt!$B$7,M292=Datenblatt!$B$7,NOT(M294=Datenblatt!$B$7)),"b","")))</f>
        <v/>
      </c>
      <c r="Q293" s="19" t="str">
        <f t="shared" si="144"/>
        <v/>
      </c>
      <c r="R293" s="124" t="str">
        <f>IF(I293="","",IF(AND(OR(J293="Krankenstand",J293="Urlaub",J293=""), AND(G293=0,NOT(I293=""))),Datenblatt!$B$7,""))</f>
        <v/>
      </c>
      <c r="S293" s="19" t="str">
        <f>IF(OR(J293="Krankenstand",J293="Urlaub"),"",IF(J293="","",VLOOKUP(D293,Dienste!C:W,21,)))</f>
        <v/>
      </c>
      <c r="T293" s="18" t="str">
        <f>IF(OR(J293="Krankenstand",J293="Urlaub"),"",IF(J293="","",VLOOKUP(D293,Dienste!C:W,5,)))</f>
        <v/>
      </c>
      <c r="U293" s="18" t="str">
        <f>IF(OR(J293="Krankenstand",J293="Urlaub"),"",IF(J293="","",VLOOKUP(D293,Dienste!C:W,6,)))</f>
        <v/>
      </c>
      <c r="V293" s="18" t="str">
        <f>IF(OR(J293="Krankenstand",J293="Urlaub"),"",IF(J293="","",VLOOKUP(D293,Dienste!C:W,7,)))</f>
        <v/>
      </c>
      <c r="W293" s="18" t="str">
        <f>IF(OR(J293="Krankenstand",J293="Urlaub"),"",IF(J293="","",VLOOKUP(D293,Dienste!C:W,11,)))</f>
        <v/>
      </c>
      <c r="X293" s="18" t="str">
        <f>IF(OR(J293="Krankenstand",J293="Urlaub"),"",IF(J293="","",VLOOKUP(D293,Dienste!C:W,12,)))</f>
        <v/>
      </c>
      <c r="Y293" s="19" t="str">
        <f>IF(OR(J293="Krankenstand",J293="Urlaub"),"",IF(J293="","",VLOOKUP(D293,Dienste!C:W,14,)))</f>
        <v/>
      </c>
      <c r="Z293" s="20" t="str">
        <f>IF(OR(J293="Krankenstand",J293="Urlaub"),"",IF(J293="","",VLOOKUP(D293,Dienste!C:W,15,)))</f>
        <v/>
      </c>
      <c r="AA293" s="124" t="str">
        <f t="shared" si="135"/>
        <v/>
      </c>
      <c r="AB293" s="19" t="str">
        <f t="shared" si="136"/>
        <v/>
      </c>
      <c r="AC293" s="126" t="str">
        <f>_xlfn.CONCAT(_xlfn.CONCAT(IF(I293="","",_xlfn.CONCAT("FT: ",I293,IF(J293="","","; "))),IF(B293&lt;Datenblatt!$B$9,"",IF(B293="","",IF(NOT(J293=""),SUBSTITUTE(SUBSTITUTE(SUBSTITUTE(J293," mR","")," oR","")," O",""),"")))),IF(AF293="","",_xlfn.CONCAT(CHAR(10),"; ",AF293)))</f>
        <v/>
      </c>
      <c r="AD293" s="124" t="str">
        <f t="shared" si="145"/>
        <v/>
      </c>
      <c r="AE293" s="19">
        <f t="shared" si="137"/>
        <v>0</v>
      </c>
      <c r="AF293" s="156"/>
    </row>
    <row r="294" spans="2:32" s="9" customFormat="1" ht="13">
      <c r="B294" s="6">
        <f t="shared" si="138"/>
        <v>44791</v>
      </c>
      <c r="C294" s="45">
        <f>SMALL(Daten!W:W,COUNTIF(Daten!W:W,"&lt;"&amp;Stundenaufzeichnung!B294+1))</f>
        <v>44578</v>
      </c>
      <c r="D294" s="45" t="str">
        <f t="shared" si="133"/>
        <v/>
      </c>
      <c r="E294" s="8">
        <f t="shared" si="134"/>
        <v>6</v>
      </c>
      <c r="F294" s="8">
        <f t="shared" si="139"/>
        <v>4</v>
      </c>
      <c r="G294" s="8">
        <f>IF(B294="","",VLOOKUP(E294,Datenblatt!$L$2:$N$8,3,FALSE))</f>
        <v>0</v>
      </c>
      <c r="H294" s="8" t="str">
        <f t="shared" si="140"/>
        <v/>
      </c>
      <c r="I294" s="11" t="str">
        <f>IFERROR(VLOOKUP(B294,Datenblatt!$E:$F,2,FALSE),"")</f>
        <v/>
      </c>
      <c r="J294" s="113"/>
      <c r="K294" s="19">
        <f>IF(B294&lt;Datenblatt!$B$9,"",IF(B294="","",IF(G294=0,Datenblatt!$B$7,"")))</f>
        <v>6.67</v>
      </c>
      <c r="L294" s="19" t="str">
        <f t="shared" si="141"/>
        <v/>
      </c>
      <c r="M294" s="124" t="str">
        <f t="shared" si="142"/>
        <v/>
      </c>
      <c r="N294" s="124" t="str">
        <f>IF(AND(L294=Datenblatt!$B$7,NOT(L293=Datenblatt!$B$7),NOT(L295=Datenblatt!$B$7)),"y",IF(AND(L294=Datenblatt!$B$7,L295=Datenblatt!$B$7,NOT(L293=Datenblatt!$B$7)),"a",IF(AND(L294=Datenblatt!$B$7,L293=Datenblatt!$B$7,NOT(L295=Datenblatt!$B$7)),"b","")))</f>
        <v/>
      </c>
      <c r="O294" s="19" t="str">
        <f t="shared" si="143"/>
        <v/>
      </c>
      <c r="P294" s="124" t="str">
        <f>IF(AND(M294=Datenblatt!$B$7,NOT(M293=Datenblatt!$B$7),NOT(M295=Datenblatt!$B$7)),"y",IF(AND(M294=Datenblatt!$B$7,M295=Datenblatt!$B$7,NOT(M293=Datenblatt!$B$7)),"a",IF(AND(M294=Datenblatt!$B$7,M293=Datenblatt!$B$7,NOT(M295=Datenblatt!$B$7)),"b","")))</f>
        <v/>
      </c>
      <c r="Q294" s="19" t="str">
        <f t="shared" si="144"/>
        <v/>
      </c>
      <c r="R294" s="124" t="str">
        <f>IF(I294="","",IF(AND(OR(J294="Krankenstand",J294="Urlaub",J294=""), AND(G294=0,NOT(I294=""))),Datenblatt!$B$7,""))</f>
        <v/>
      </c>
      <c r="S294" s="19" t="str">
        <f>IF(OR(J294="Krankenstand",J294="Urlaub"),"",IF(J294="","",VLOOKUP(D294,Dienste!C:W,21,)))</f>
        <v/>
      </c>
      <c r="T294" s="18" t="str">
        <f>IF(OR(J294="Krankenstand",J294="Urlaub"),"",IF(J294="","",VLOOKUP(D294,Dienste!C:W,5,)))</f>
        <v/>
      </c>
      <c r="U294" s="18" t="str">
        <f>IF(OR(J294="Krankenstand",J294="Urlaub"),"",IF(J294="","",VLOOKUP(D294,Dienste!C:W,6,)))</f>
        <v/>
      </c>
      <c r="V294" s="18" t="str">
        <f>IF(OR(J294="Krankenstand",J294="Urlaub"),"",IF(J294="","",VLOOKUP(D294,Dienste!C:W,7,)))</f>
        <v/>
      </c>
      <c r="W294" s="18" t="str">
        <f>IF(OR(J294="Krankenstand",J294="Urlaub"),"",IF(J294="","",VLOOKUP(D294,Dienste!C:W,11,)))</f>
        <v/>
      </c>
      <c r="X294" s="18" t="str">
        <f>IF(OR(J294="Krankenstand",J294="Urlaub"),"",IF(J294="","",VLOOKUP(D294,Dienste!C:W,12,)))</f>
        <v/>
      </c>
      <c r="Y294" s="19" t="str">
        <f>IF(OR(J294="Krankenstand",J294="Urlaub"),"",IF(J294="","",VLOOKUP(D294,Dienste!C:W,14,)))</f>
        <v/>
      </c>
      <c r="Z294" s="20" t="str">
        <f>IF(OR(J294="Krankenstand",J294="Urlaub"),"",IF(J294="","",VLOOKUP(D294,Dienste!C:W,15,)))</f>
        <v/>
      </c>
      <c r="AA294" s="124" t="str">
        <f t="shared" si="135"/>
        <v/>
      </c>
      <c r="AB294" s="19" t="str">
        <f t="shared" si="136"/>
        <v/>
      </c>
      <c r="AC294" s="126" t="str">
        <f>_xlfn.CONCAT(_xlfn.CONCAT(IF(I294="","",_xlfn.CONCAT("FT: ",I294,IF(J294="","","; "))),IF(B294&lt;Datenblatt!$B$9,"",IF(B294="","",IF(NOT(J294=""),SUBSTITUTE(SUBSTITUTE(SUBSTITUTE(J294," mR","")," oR","")," O",""),"")))),IF(AF294="","",_xlfn.CONCAT(CHAR(10),"; ",AF294)))</f>
        <v/>
      </c>
      <c r="AD294" s="124" t="str">
        <f t="shared" si="145"/>
        <v/>
      </c>
      <c r="AE294" s="19">
        <f t="shared" si="137"/>
        <v>0</v>
      </c>
      <c r="AF294" s="156"/>
    </row>
    <row r="295" spans="2:32" s="9" customFormat="1" ht="13">
      <c r="B295" s="6">
        <f t="shared" si="138"/>
        <v>44792</v>
      </c>
      <c r="C295" s="45">
        <f>SMALL(Daten!W:W,COUNTIF(Daten!W:W,"&lt;"&amp;Stundenaufzeichnung!B295+1))</f>
        <v>44578</v>
      </c>
      <c r="D295" s="45" t="str">
        <f t="shared" si="133"/>
        <v/>
      </c>
      <c r="E295" s="8">
        <f t="shared" si="134"/>
        <v>7</v>
      </c>
      <c r="F295" s="8">
        <f t="shared" si="139"/>
        <v>5</v>
      </c>
      <c r="G295" s="8">
        <f>IF(B295="","",VLOOKUP(E295,Datenblatt!$L$2:$N$8,3,FALSE))</f>
        <v>0</v>
      </c>
      <c r="H295" s="8" t="str">
        <f t="shared" si="140"/>
        <v/>
      </c>
      <c r="I295" s="11" t="str">
        <f>IFERROR(VLOOKUP(B295,Datenblatt!$E:$F,2,FALSE),"")</f>
        <v/>
      </c>
      <c r="J295" s="113"/>
      <c r="K295" s="19">
        <f>IF(B295&lt;Datenblatt!$B$9,"",IF(B295="","",IF(G295=0,Datenblatt!$B$7,"")))</f>
        <v>6.67</v>
      </c>
      <c r="L295" s="19" t="str">
        <f t="shared" si="141"/>
        <v/>
      </c>
      <c r="M295" s="124" t="str">
        <f t="shared" si="142"/>
        <v/>
      </c>
      <c r="N295" s="124" t="str">
        <f>IF(AND(L295=Datenblatt!$B$7,NOT(L294=Datenblatt!$B$7),NOT(L296=Datenblatt!$B$7)),"y",IF(AND(L295=Datenblatt!$B$7,L296=Datenblatt!$B$7,NOT(L294=Datenblatt!$B$7)),"a",IF(AND(L295=Datenblatt!$B$7,L294=Datenblatt!$B$7,NOT(L296=Datenblatt!$B$7)),"b","")))</f>
        <v/>
      </c>
      <c r="O295" s="19" t="str">
        <f t="shared" si="143"/>
        <v/>
      </c>
      <c r="P295" s="124" t="str">
        <f>IF(AND(M295=Datenblatt!$B$7,NOT(M294=Datenblatt!$B$7),NOT(M296=Datenblatt!$B$7)),"y",IF(AND(M295=Datenblatt!$B$7,M296=Datenblatt!$B$7,NOT(M294=Datenblatt!$B$7)),"a",IF(AND(M295=Datenblatt!$B$7,M294=Datenblatt!$B$7,NOT(M296=Datenblatt!$B$7)),"b","")))</f>
        <v/>
      </c>
      <c r="Q295" s="19" t="str">
        <f t="shared" si="144"/>
        <v/>
      </c>
      <c r="R295" s="124" t="str">
        <f>IF(I295="","",IF(AND(OR(J295="Krankenstand",J295="Urlaub",J295=""), AND(G295=0,NOT(I295=""))),Datenblatt!$B$7,""))</f>
        <v/>
      </c>
      <c r="S295" s="19" t="str">
        <f>IF(OR(J295="Krankenstand",J295="Urlaub"),"",IF(J295="","",VLOOKUP(D295,Dienste!C:W,21,)))</f>
        <v/>
      </c>
      <c r="T295" s="18" t="str">
        <f>IF(OR(J295="Krankenstand",J295="Urlaub"),"",IF(J295="","",VLOOKUP(D295,Dienste!C:W,5,)))</f>
        <v/>
      </c>
      <c r="U295" s="18" t="str">
        <f>IF(OR(J295="Krankenstand",J295="Urlaub"),"",IF(J295="","",VLOOKUP(D295,Dienste!C:W,6,)))</f>
        <v/>
      </c>
      <c r="V295" s="18" t="str">
        <f>IF(OR(J295="Krankenstand",J295="Urlaub"),"",IF(J295="","",VLOOKUP(D295,Dienste!C:W,7,)))</f>
        <v/>
      </c>
      <c r="W295" s="18" t="str">
        <f>IF(OR(J295="Krankenstand",J295="Urlaub"),"",IF(J295="","",VLOOKUP(D295,Dienste!C:W,11,)))</f>
        <v/>
      </c>
      <c r="X295" s="18" t="str">
        <f>IF(OR(J295="Krankenstand",J295="Urlaub"),"",IF(J295="","",VLOOKUP(D295,Dienste!C:W,12,)))</f>
        <v/>
      </c>
      <c r="Y295" s="19" t="str">
        <f>IF(OR(J295="Krankenstand",J295="Urlaub"),"",IF(J295="","",VLOOKUP(D295,Dienste!C:W,14,)))</f>
        <v/>
      </c>
      <c r="Z295" s="20" t="str">
        <f>IF(OR(J295="Krankenstand",J295="Urlaub"),"",IF(J295="","",VLOOKUP(D295,Dienste!C:W,15,)))</f>
        <v/>
      </c>
      <c r="AA295" s="124" t="str">
        <f t="shared" si="135"/>
        <v/>
      </c>
      <c r="AB295" s="19" t="str">
        <f t="shared" si="136"/>
        <v/>
      </c>
      <c r="AC295" s="126" t="str">
        <f>_xlfn.CONCAT(_xlfn.CONCAT(IF(I295="","",_xlfn.CONCAT("FT: ",I295,IF(J295="","","; "))),IF(B295&lt;Datenblatt!$B$9,"",IF(B295="","",IF(NOT(J295=""),SUBSTITUTE(SUBSTITUTE(SUBSTITUTE(J295," mR","")," oR","")," O",""),"")))),IF(AF295="","",_xlfn.CONCAT(CHAR(10),"; ",AF295)))</f>
        <v/>
      </c>
      <c r="AD295" s="124" t="str">
        <f t="shared" si="145"/>
        <v/>
      </c>
      <c r="AE295" s="19">
        <f t="shared" si="137"/>
        <v>0</v>
      </c>
      <c r="AF295" s="156"/>
    </row>
    <row r="296" spans="2:32" s="9" customFormat="1" ht="13">
      <c r="B296" s="6">
        <f t="shared" si="138"/>
        <v>44793</v>
      </c>
      <c r="C296" s="45">
        <f>SMALL(Daten!W:W,COUNTIF(Daten!W:W,"&lt;"&amp;Stundenaufzeichnung!B296+1))</f>
        <v>44578</v>
      </c>
      <c r="D296" s="45" t="str">
        <f t="shared" si="133"/>
        <v/>
      </c>
      <c r="E296" s="8">
        <f t="shared" si="134"/>
        <v>1</v>
      </c>
      <c r="F296" s="8">
        <f t="shared" si="139"/>
        <v>6</v>
      </c>
      <c r="G296" s="8">
        <f>IF(B296="","",VLOOKUP(E296,Datenblatt!$L$2:$N$8,3,FALSE))</f>
        <v>0</v>
      </c>
      <c r="H296" s="8" t="str">
        <f t="shared" si="140"/>
        <v/>
      </c>
      <c r="I296" s="11" t="str">
        <f>IFERROR(VLOOKUP(B296,Datenblatt!$E:$F,2,FALSE),"")</f>
        <v/>
      </c>
      <c r="J296" s="113"/>
      <c r="K296" s="19">
        <f>IF(B296&lt;Datenblatt!$B$9,"",IF(B296="","",IF(G296=0,Datenblatt!$B$7,"")))</f>
        <v>6.67</v>
      </c>
      <c r="L296" s="19" t="str">
        <f t="shared" si="141"/>
        <v/>
      </c>
      <c r="M296" s="124" t="str">
        <f t="shared" si="142"/>
        <v/>
      </c>
      <c r="N296" s="124" t="str">
        <f>IF(AND(L296=Datenblatt!$B$7,NOT(L295=Datenblatt!$B$7),NOT(L297=Datenblatt!$B$7)),"y",IF(AND(L296=Datenblatt!$B$7,L297=Datenblatt!$B$7,NOT(L295=Datenblatt!$B$7)),"a",IF(AND(L296=Datenblatt!$B$7,L295=Datenblatt!$B$7,NOT(L297=Datenblatt!$B$7)),"b","")))</f>
        <v/>
      </c>
      <c r="O296" s="19" t="str">
        <f t="shared" si="143"/>
        <v/>
      </c>
      <c r="P296" s="124" t="str">
        <f>IF(AND(M296=Datenblatt!$B$7,NOT(M295=Datenblatt!$B$7),NOT(M297=Datenblatt!$B$7)),"y",IF(AND(M296=Datenblatt!$B$7,M297=Datenblatt!$B$7,NOT(M295=Datenblatt!$B$7)),"a",IF(AND(M296=Datenblatt!$B$7,M295=Datenblatt!$B$7,NOT(M297=Datenblatt!$B$7)),"b","")))</f>
        <v/>
      </c>
      <c r="Q296" s="19" t="str">
        <f t="shared" si="144"/>
        <v/>
      </c>
      <c r="R296" s="124" t="str">
        <f>IF(I296="","",IF(AND(OR(J296="Krankenstand",J296="Urlaub",J296=""), AND(G296=0,NOT(I296=""))),Datenblatt!$B$7,""))</f>
        <v/>
      </c>
      <c r="S296" s="19" t="str">
        <f>IF(OR(J296="Krankenstand",J296="Urlaub"),"",IF(J296="","",VLOOKUP(D296,Dienste!C:W,21,)))</f>
        <v/>
      </c>
      <c r="T296" s="18" t="str">
        <f>IF(OR(J296="Krankenstand",J296="Urlaub"),"",IF(J296="","",VLOOKUP(D296,Dienste!C:W,5,)))</f>
        <v/>
      </c>
      <c r="U296" s="18" t="str">
        <f>IF(OR(J296="Krankenstand",J296="Urlaub"),"",IF(J296="","",VLOOKUP(D296,Dienste!C:W,6,)))</f>
        <v/>
      </c>
      <c r="V296" s="18" t="str">
        <f>IF(OR(J296="Krankenstand",J296="Urlaub"),"",IF(J296="","",VLOOKUP(D296,Dienste!C:W,7,)))</f>
        <v/>
      </c>
      <c r="W296" s="18" t="str">
        <f>IF(OR(J296="Krankenstand",J296="Urlaub"),"",IF(J296="","",VLOOKUP(D296,Dienste!C:W,11,)))</f>
        <v/>
      </c>
      <c r="X296" s="18" t="str">
        <f>IF(OR(J296="Krankenstand",J296="Urlaub"),"",IF(J296="","",VLOOKUP(D296,Dienste!C:W,12,)))</f>
        <v/>
      </c>
      <c r="Y296" s="19" t="str">
        <f>IF(OR(J296="Krankenstand",J296="Urlaub"),"",IF(J296="","",VLOOKUP(D296,Dienste!C:W,14,)))</f>
        <v/>
      </c>
      <c r="Z296" s="20" t="str">
        <f>IF(OR(J296="Krankenstand",J296="Urlaub"),"",IF(J296="","",VLOOKUP(D296,Dienste!C:W,15,)))</f>
        <v/>
      </c>
      <c r="AA296" s="124" t="str">
        <f t="shared" si="135"/>
        <v/>
      </c>
      <c r="AB296" s="19" t="str">
        <f t="shared" si="136"/>
        <v/>
      </c>
      <c r="AC296" s="126" t="str">
        <f>_xlfn.CONCAT(_xlfn.CONCAT(IF(I296="","",_xlfn.CONCAT("FT: ",I296,IF(J296="","","; "))),IF(B296&lt;Datenblatt!$B$9,"",IF(B296="","",IF(NOT(J296=""),SUBSTITUTE(SUBSTITUTE(SUBSTITUTE(J296," mR","")," oR","")," O",""),"")))),IF(AF296="","",_xlfn.CONCAT(CHAR(10),"; ",AF296)))</f>
        <v/>
      </c>
      <c r="AD296" s="124" t="str">
        <f t="shared" si="145"/>
        <v/>
      </c>
      <c r="AE296" s="19">
        <f t="shared" si="137"/>
        <v>0</v>
      </c>
      <c r="AF296" s="156"/>
    </row>
    <row r="297" spans="2:32" s="9" customFormat="1" ht="13">
      <c r="B297" s="6">
        <f t="shared" si="138"/>
        <v>44794</v>
      </c>
      <c r="C297" s="45">
        <f>SMALL(Daten!W:W,COUNTIF(Daten!W:W,"&lt;"&amp;Stundenaufzeichnung!B297+1))</f>
        <v>44578</v>
      </c>
      <c r="D297" s="45" t="str">
        <f t="shared" si="133"/>
        <v/>
      </c>
      <c r="E297" s="8">
        <f t="shared" si="134"/>
        <v>2</v>
      </c>
      <c r="F297" s="8">
        <f t="shared" si="139"/>
        <v>7</v>
      </c>
      <c r="G297" s="8">
        <f>IF(B297="","",VLOOKUP(E297,Datenblatt!$L$2:$N$8,3,FALSE))</f>
        <v>1</v>
      </c>
      <c r="H297" s="8" t="str">
        <f t="shared" si="140"/>
        <v>x</v>
      </c>
      <c r="I297" s="11" t="str">
        <f>IFERROR(VLOOKUP(B297,Datenblatt!$E:$F,2,FALSE),"")</f>
        <v/>
      </c>
      <c r="J297" s="113"/>
      <c r="K297" s="19" t="str">
        <f>IF(B297&lt;Datenblatt!$B$9,"",IF(B297="","",IF(G297=0,Datenblatt!$B$7,"")))</f>
        <v/>
      </c>
      <c r="L297" s="19" t="str">
        <f t="shared" si="141"/>
        <v/>
      </c>
      <c r="M297" s="124" t="str">
        <f t="shared" si="142"/>
        <v/>
      </c>
      <c r="N297" s="124" t="str">
        <f>IF(AND(L297=Datenblatt!$B$7,NOT(L296=Datenblatt!$B$7),NOT(L298=Datenblatt!$B$7)),"y",IF(AND(L297=Datenblatt!$B$7,L298=Datenblatt!$B$7,NOT(L296=Datenblatt!$B$7)),"a",IF(AND(L297=Datenblatt!$B$7,L296=Datenblatt!$B$7,NOT(L298=Datenblatt!$B$7)),"b","")))</f>
        <v/>
      </c>
      <c r="O297" s="19" t="str">
        <f t="shared" si="143"/>
        <v/>
      </c>
      <c r="P297" s="124" t="str">
        <f>IF(AND(M297=Datenblatt!$B$7,NOT(M296=Datenblatt!$B$7),NOT(M298=Datenblatt!$B$7)),"y",IF(AND(M297=Datenblatt!$B$7,M298=Datenblatt!$B$7,NOT(M296=Datenblatt!$B$7)),"a",IF(AND(M297=Datenblatt!$B$7,M296=Datenblatt!$B$7,NOT(M298=Datenblatt!$B$7)),"b","")))</f>
        <v/>
      </c>
      <c r="Q297" s="19" t="str">
        <f t="shared" si="144"/>
        <v/>
      </c>
      <c r="R297" s="124" t="str">
        <f>IF(I297="","",IF(AND(OR(J297="Krankenstand",J297="Urlaub",J297=""), AND(G297=0,NOT(I297=""))),Datenblatt!$B$7,""))</f>
        <v/>
      </c>
      <c r="S297" s="19" t="str">
        <f>IF(OR(J297="Krankenstand",J297="Urlaub"),"",IF(J297="","",VLOOKUP(D297,Dienste!C:W,21,)))</f>
        <v/>
      </c>
      <c r="T297" s="18" t="str">
        <f>IF(OR(J297="Krankenstand",J297="Urlaub"),"",IF(J297="","",VLOOKUP(D297,Dienste!C:W,5,)))</f>
        <v/>
      </c>
      <c r="U297" s="18" t="str">
        <f>IF(OR(J297="Krankenstand",J297="Urlaub"),"",IF(J297="","",VLOOKUP(D297,Dienste!C:W,6,)))</f>
        <v/>
      </c>
      <c r="V297" s="18" t="str">
        <f>IF(OR(J297="Krankenstand",J297="Urlaub"),"",IF(J297="","",VLOOKUP(D297,Dienste!C:W,7,)))</f>
        <v/>
      </c>
      <c r="W297" s="18" t="str">
        <f>IF(OR(J297="Krankenstand",J297="Urlaub"),"",IF(J297="","",VLOOKUP(D297,Dienste!C:W,11,)))</f>
        <v/>
      </c>
      <c r="X297" s="18" t="str">
        <f>IF(OR(J297="Krankenstand",J297="Urlaub"),"",IF(J297="","",VLOOKUP(D297,Dienste!C:W,12,)))</f>
        <v/>
      </c>
      <c r="Y297" s="19" t="str">
        <f>IF(OR(J297="Krankenstand",J297="Urlaub"),"",IF(J297="","",VLOOKUP(D297,Dienste!C:W,14,)))</f>
        <v/>
      </c>
      <c r="Z297" s="20" t="str">
        <f>IF(OR(J297="Krankenstand",J297="Urlaub"),"",IF(J297="","",VLOOKUP(D297,Dienste!C:W,15,)))</f>
        <v/>
      </c>
      <c r="AA297" s="124" t="str">
        <f t="shared" si="135"/>
        <v/>
      </c>
      <c r="AB297" s="19" t="str">
        <f t="shared" si="136"/>
        <v/>
      </c>
      <c r="AC297" s="126" t="str">
        <f>_xlfn.CONCAT(_xlfn.CONCAT(IF(I297="","",_xlfn.CONCAT("FT: ",I297,IF(J297="","","; "))),IF(B297&lt;Datenblatt!$B$9,"",IF(B297="","",IF(NOT(J297=""),SUBSTITUTE(SUBSTITUTE(SUBSTITUTE(J297," mR","")," oR","")," O",""),"")))),IF(AF297="","",_xlfn.CONCAT(CHAR(10),"; ",AF297)))</f>
        <v/>
      </c>
      <c r="AD297" s="124" t="str">
        <f t="shared" si="145"/>
        <v/>
      </c>
      <c r="AE297" s="19">
        <f t="shared" si="137"/>
        <v>0</v>
      </c>
      <c r="AF297" s="156"/>
    </row>
    <row r="298" spans="2:32" s="9" customFormat="1" ht="13">
      <c r="B298" s="6">
        <f t="shared" si="138"/>
        <v>44795</v>
      </c>
      <c r="C298" s="45">
        <f>SMALL(Daten!W:W,COUNTIF(Daten!W:W,"&lt;"&amp;Stundenaufzeichnung!B298+1))</f>
        <v>44578</v>
      </c>
      <c r="D298" s="45" t="str">
        <f t="shared" si="133"/>
        <v/>
      </c>
      <c r="E298" s="8">
        <f t="shared" si="134"/>
        <v>3</v>
      </c>
      <c r="F298" s="8">
        <f t="shared" si="139"/>
        <v>1</v>
      </c>
      <c r="G298" s="8">
        <f>IF(B298="","",VLOOKUP(E298,Datenblatt!$L$2:$N$8,3,FALSE))</f>
        <v>0</v>
      </c>
      <c r="H298" s="8" t="str">
        <f t="shared" si="140"/>
        <v/>
      </c>
      <c r="I298" s="11" t="str">
        <f>IFERROR(VLOOKUP(B298,Datenblatt!$E:$F,2,FALSE),"")</f>
        <v/>
      </c>
      <c r="J298" s="113"/>
      <c r="K298" s="19">
        <f>IF(B298&lt;Datenblatt!$B$9,"",IF(B298="","",IF(G298=0,Datenblatt!$B$7,"")))</f>
        <v>6.67</v>
      </c>
      <c r="L298" s="19" t="str">
        <f t="shared" si="141"/>
        <v/>
      </c>
      <c r="M298" s="124" t="str">
        <f t="shared" si="142"/>
        <v/>
      </c>
      <c r="N298" s="124" t="str">
        <f>IF(AND(L298=Datenblatt!$B$7,NOT(L297=Datenblatt!$B$7),NOT(L299=Datenblatt!$B$7)),"y",IF(AND(L298=Datenblatt!$B$7,L299=Datenblatt!$B$7,NOT(L297=Datenblatt!$B$7)),"a",IF(AND(L298=Datenblatt!$B$7,L297=Datenblatt!$B$7,NOT(L299=Datenblatt!$B$7)),"b","")))</f>
        <v/>
      </c>
      <c r="O298" s="19" t="str">
        <f t="shared" si="143"/>
        <v/>
      </c>
      <c r="P298" s="124" t="str">
        <f>IF(AND(M298=Datenblatt!$B$7,NOT(M297=Datenblatt!$B$7),NOT(M299=Datenblatt!$B$7)),"y",IF(AND(M298=Datenblatt!$B$7,M299=Datenblatt!$B$7,NOT(M297=Datenblatt!$B$7)),"a",IF(AND(M298=Datenblatt!$B$7,M297=Datenblatt!$B$7,NOT(M299=Datenblatt!$B$7)),"b","")))</f>
        <v/>
      </c>
      <c r="Q298" s="19" t="str">
        <f t="shared" si="144"/>
        <v/>
      </c>
      <c r="R298" s="124" t="str">
        <f>IF(I298="","",IF(AND(OR(J298="Krankenstand",J298="Urlaub",J298=""), AND(G298=0,NOT(I298=""))),Datenblatt!$B$7,""))</f>
        <v/>
      </c>
      <c r="S298" s="19" t="str">
        <f>IF(OR(J298="Krankenstand",J298="Urlaub"),"",IF(J298="","",VLOOKUP(D298,Dienste!C:W,21,)))</f>
        <v/>
      </c>
      <c r="T298" s="18" t="str">
        <f>IF(OR(J298="Krankenstand",J298="Urlaub"),"",IF(J298="","",VLOOKUP(D298,Dienste!C:W,5,)))</f>
        <v/>
      </c>
      <c r="U298" s="18" t="str">
        <f>IF(OR(J298="Krankenstand",J298="Urlaub"),"",IF(J298="","",VLOOKUP(D298,Dienste!C:W,6,)))</f>
        <v/>
      </c>
      <c r="V298" s="18" t="str">
        <f>IF(OR(J298="Krankenstand",J298="Urlaub"),"",IF(J298="","",VLOOKUP(D298,Dienste!C:W,7,)))</f>
        <v/>
      </c>
      <c r="W298" s="18" t="str">
        <f>IF(OR(J298="Krankenstand",J298="Urlaub"),"",IF(J298="","",VLOOKUP(D298,Dienste!C:W,11,)))</f>
        <v/>
      </c>
      <c r="X298" s="18" t="str">
        <f>IF(OR(J298="Krankenstand",J298="Urlaub"),"",IF(J298="","",VLOOKUP(D298,Dienste!C:W,12,)))</f>
        <v/>
      </c>
      <c r="Y298" s="19" t="str">
        <f>IF(OR(J298="Krankenstand",J298="Urlaub"),"",IF(J298="","",VLOOKUP(D298,Dienste!C:W,14,)))</f>
        <v/>
      </c>
      <c r="Z298" s="20" t="str">
        <f>IF(OR(J298="Krankenstand",J298="Urlaub"),"",IF(J298="","",VLOOKUP(D298,Dienste!C:W,15,)))</f>
        <v/>
      </c>
      <c r="AA298" s="124" t="str">
        <f t="shared" si="135"/>
        <v/>
      </c>
      <c r="AB298" s="19" t="str">
        <f t="shared" si="136"/>
        <v/>
      </c>
      <c r="AC298" s="126" t="str">
        <f>_xlfn.CONCAT(_xlfn.CONCAT(IF(I298="","",_xlfn.CONCAT("FT: ",I298,IF(J298="","","; "))),IF(B298&lt;Datenblatt!$B$9,"",IF(B298="","",IF(NOT(J298=""),SUBSTITUTE(SUBSTITUTE(SUBSTITUTE(J298," mR","")," oR","")," O",""),"")))),IF(AF298="","",_xlfn.CONCAT(CHAR(10),"; ",AF298)))</f>
        <v/>
      </c>
      <c r="AD298" s="124" t="str">
        <f t="shared" si="145"/>
        <v/>
      </c>
      <c r="AE298" s="19">
        <f t="shared" si="137"/>
        <v>0</v>
      </c>
      <c r="AF298" s="156"/>
    </row>
    <row r="299" spans="2:32" s="9" customFormat="1" ht="13">
      <c r="B299" s="6">
        <f t="shared" si="138"/>
        <v>44796</v>
      </c>
      <c r="C299" s="45">
        <f>SMALL(Daten!W:W,COUNTIF(Daten!W:W,"&lt;"&amp;Stundenaufzeichnung!B299+1))</f>
        <v>44578</v>
      </c>
      <c r="D299" s="45" t="str">
        <f t="shared" si="133"/>
        <v/>
      </c>
      <c r="E299" s="8">
        <f t="shared" si="134"/>
        <v>4</v>
      </c>
      <c r="F299" s="8">
        <f t="shared" si="139"/>
        <v>2</v>
      </c>
      <c r="G299" s="8">
        <f>IF(B299="","",VLOOKUP(E299,Datenblatt!$L$2:$N$8,3,FALSE))</f>
        <v>0</v>
      </c>
      <c r="H299" s="8" t="str">
        <f t="shared" si="140"/>
        <v/>
      </c>
      <c r="I299" s="11" t="str">
        <f>IFERROR(VLOOKUP(B299,Datenblatt!$E:$F,2,FALSE),"")</f>
        <v/>
      </c>
      <c r="J299" s="113"/>
      <c r="K299" s="19">
        <f>IF(B299&lt;Datenblatt!$B$9,"",IF(B299="","",IF(G299=0,Datenblatt!$B$7,"")))</f>
        <v>6.67</v>
      </c>
      <c r="L299" s="19" t="str">
        <f t="shared" si="141"/>
        <v/>
      </c>
      <c r="M299" s="124" t="str">
        <f t="shared" si="142"/>
        <v/>
      </c>
      <c r="N299" s="124" t="str">
        <f>IF(AND(L299=Datenblatt!$B$7,NOT(L298=Datenblatt!$B$7),NOT(L300=Datenblatt!$B$7)),"y",IF(AND(L299=Datenblatt!$B$7,L300=Datenblatt!$B$7,NOT(L298=Datenblatt!$B$7)),"a",IF(AND(L299=Datenblatt!$B$7,L298=Datenblatt!$B$7,NOT(L300=Datenblatt!$B$7)),"b","")))</f>
        <v/>
      </c>
      <c r="O299" s="19" t="str">
        <f t="shared" si="143"/>
        <v/>
      </c>
      <c r="P299" s="124" t="str">
        <f>IF(AND(M299=Datenblatt!$B$7,NOT(M298=Datenblatt!$B$7),NOT(M300=Datenblatt!$B$7)),"y",IF(AND(M299=Datenblatt!$B$7,M300=Datenblatt!$B$7,NOT(M298=Datenblatt!$B$7)),"a",IF(AND(M299=Datenblatt!$B$7,M298=Datenblatt!$B$7,NOT(M300=Datenblatt!$B$7)),"b","")))</f>
        <v/>
      </c>
      <c r="Q299" s="19" t="str">
        <f t="shared" si="144"/>
        <v/>
      </c>
      <c r="R299" s="124" t="str">
        <f>IF(I299="","",IF(AND(OR(J299="Krankenstand",J299="Urlaub",J299=""), AND(G299=0,NOT(I299=""))),Datenblatt!$B$7,""))</f>
        <v/>
      </c>
      <c r="S299" s="19" t="str">
        <f>IF(OR(J299="Krankenstand",J299="Urlaub"),"",IF(J299="","",VLOOKUP(D299,Dienste!C:W,21,)))</f>
        <v/>
      </c>
      <c r="T299" s="18" t="str">
        <f>IF(OR(J299="Krankenstand",J299="Urlaub"),"",IF(J299="","",VLOOKUP(D299,Dienste!C:W,5,)))</f>
        <v/>
      </c>
      <c r="U299" s="18" t="str">
        <f>IF(OR(J299="Krankenstand",J299="Urlaub"),"",IF(J299="","",VLOOKUP(D299,Dienste!C:W,6,)))</f>
        <v/>
      </c>
      <c r="V299" s="18" t="str">
        <f>IF(OR(J299="Krankenstand",J299="Urlaub"),"",IF(J299="","",VLOOKUP(D299,Dienste!C:W,7,)))</f>
        <v/>
      </c>
      <c r="W299" s="18" t="str">
        <f>IF(OR(J299="Krankenstand",J299="Urlaub"),"",IF(J299="","",VLOOKUP(D299,Dienste!C:W,11,)))</f>
        <v/>
      </c>
      <c r="X299" s="18" t="str">
        <f>IF(OR(J299="Krankenstand",J299="Urlaub"),"",IF(J299="","",VLOOKUP(D299,Dienste!C:W,12,)))</f>
        <v/>
      </c>
      <c r="Y299" s="19" t="str">
        <f>IF(OR(J299="Krankenstand",J299="Urlaub"),"",IF(J299="","",VLOOKUP(D299,Dienste!C:W,14,)))</f>
        <v/>
      </c>
      <c r="Z299" s="20" t="str">
        <f>IF(OR(J299="Krankenstand",J299="Urlaub"),"",IF(J299="","",VLOOKUP(D299,Dienste!C:W,15,)))</f>
        <v/>
      </c>
      <c r="AA299" s="124" t="str">
        <f t="shared" si="135"/>
        <v/>
      </c>
      <c r="AB299" s="19" t="str">
        <f t="shared" si="136"/>
        <v/>
      </c>
      <c r="AC299" s="126" t="str">
        <f>_xlfn.CONCAT(_xlfn.CONCAT(IF(I299="","",_xlfn.CONCAT("FT: ",I299,IF(J299="","","; "))),IF(B299&lt;Datenblatt!$B$9,"",IF(B299="","",IF(NOT(J299=""),SUBSTITUTE(SUBSTITUTE(SUBSTITUTE(J299," mR","")," oR","")," O",""),"")))),IF(AF299="","",_xlfn.CONCAT(CHAR(10),"; ",AF299)))</f>
        <v/>
      </c>
      <c r="AD299" s="124" t="str">
        <f t="shared" si="145"/>
        <v/>
      </c>
      <c r="AE299" s="19">
        <f t="shared" si="137"/>
        <v>0</v>
      </c>
      <c r="AF299" s="156"/>
    </row>
    <row r="300" spans="2:32" s="9" customFormat="1" ht="13">
      <c r="B300" s="6">
        <f t="shared" si="138"/>
        <v>44797</v>
      </c>
      <c r="C300" s="45">
        <f>SMALL(Daten!W:W,COUNTIF(Daten!W:W,"&lt;"&amp;Stundenaufzeichnung!B300+1))</f>
        <v>44578</v>
      </c>
      <c r="D300" s="45" t="str">
        <f t="shared" si="133"/>
        <v/>
      </c>
      <c r="E300" s="8">
        <f t="shared" si="134"/>
        <v>5</v>
      </c>
      <c r="F300" s="8">
        <f t="shared" si="139"/>
        <v>3</v>
      </c>
      <c r="G300" s="8">
        <f>IF(B300="","",VLOOKUP(E300,Datenblatt!$L$2:$N$8,3,FALSE))</f>
        <v>0</v>
      </c>
      <c r="H300" s="8" t="str">
        <f t="shared" si="140"/>
        <v/>
      </c>
      <c r="I300" s="11" t="str">
        <f>IFERROR(VLOOKUP(B300,Datenblatt!$E:$F,2,FALSE),"")</f>
        <v/>
      </c>
      <c r="J300" s="113"/>
      <c r="K300" s="19">
        <f>IF(B300&lt;Datenblatt!$B$9,"",IF(B300="","",IF(G300=0,Datenblatt!$B$7,"")))</f>
        <v>6.67</v>
      </c>
      <c r="L300" s="19" t="str">
        <f t="shared" si="141"/>
        <v/>
      </c>
      <c r="M300" s="124" t="str">
        <f t="shared" si="142"/>
        <v/>
      </c>
      <c r="N300" s="124" t="str">
        <f>IF(AND(L300=Datenblatt!$B$7,NOT(L299=Datenblatt!$B$7),NOT(L301=Datenblatt!$B$7)),"y",IF(AND(L300=Datenblatt!$B$7,L301=Datenblatt!$B$7,NOT(L299=Datenblatt!$B$7)),"a",IF(AND(L300=Datenblatt!$B$7,L299=Datenblatt!$B$7,NOT(L301=Datenblatt!$B$7)),"b","")))</f>
        <v/>
      </c>
      <c r="O300" s="19" t="str">
        <f t="shared" si="143"/>
        <v/>
      </c>
      <c r="P300" s="124" t="str">
        <f>IF(AND(M300=Datenblatt!$B$7,NOT(M299=Datenblatt!$B$7),NOT(M301=Datenblatt!$B$7)),"y",IF(AND(M300=Datenblatt!$B$7,M301=Datenblatt!$B$7,NOT(M299=Datenblatt!$B$7)),"a",IF(AND(M300=Datenblatt!$B$7,M299=Datenblatt!$B$7,NOT(M301=Datenblatt!$B$7)),"b","")))</f>
        <v/>
      </c>
      <c r="Q300" s="19" t="str">
        <f t="shared" si="144"/>
        <v/>
      </c>
      <c r="R300" s="124" t="str">
        <f>IF(I300="","",IF(AND(OR(J300="Krankenstand",J300="Urlaub",J300=""), AND(G300=0,NOT(I300=""))),Datenblatt!$B$7,""))</f>
        <v/>
      </c>
      <c r="S300" s="19" t="str">
        <f>IF(OR(J300="Krankenstand",J300="Urlaub"),"",IF(J300="","",VLOOKUP(D300,Dienste!C:W,21,)))</f>
        <v/>
      </c>
      <c r="T300" s="18" t="str">
        <f>IF(OR(J300="Krankenstand",J300="Urlaub"),"",IF(J300="","",VLOOKUP(D300,Dienste!C:W,5,)))</f>
        <v/>
      </c>
      <c r="U300" s="18" t="str">
        <f>IF(OR(J300="Krankenstand",J300="Urlaub"),"",IF(J300="","",VLOOKUP(D300,Dienste!C:W,6,)))</f>
        <v/>
      </c>
      <c r="V300" s="18" t="str">
        <f>IF(OR(J300="Krankenstand",J300="Urlaub"),"",IF(J300="","",VLOOKUP(D300,Dienste!C:W,7,)))</f>
        <v/>
      </c>
      <c r="W300" s="18" t="str">
        <f>IF(OR(J300="Krankenstand",J300="Urlaub"),"",IF(J300="","",VLOOKUP(D300,Dienste!C:W,11,)))</f>
        <v/>
      </c>
      <c r="X300" s="18" t="str">
        <f>IF(OR(J300="Krankenstand",J300="Urlaub"),"",IF(J300="","",VLOOKUP(D300,Dienste!C:W,12,)))</f>
        <v/>
      </c>
      <c r="Y300" s="19" t="str">
        <f>IF(OR(J300="Krankenstand",J300="Urlaub"),"",IF(J300="","",VLOOKUP(D300,Dienste!C:W,14,)))</f>
        <v/>
      </c>
      <c r="Z300" s="20" t="str">
        <f>IF(OR(J300="Krankenstand",J300="Urlaub"),"",IF(J300="","",VLOOKUP(D300,Dienste!C:W,15,)))</f>
        <v/>
      </c>
      <c r="AA300" s="124" t="str">
        <f t="shared" si="135"/>
        <v/>
      </c>
      <c r="AB300" s="19" t="str">
        <f t="shared" si="136"/>
        <v/>
      </c>
      <c r="AC300" s="126" t="str">
        <f>_xlfn.CONCAT(_xlfn.CONCAT(IF(I300="","",_xlfn.CONCAT("FT: ",I300,IF(J300="","","; "))),IF(B300&lt;Datenblatt!$B$9,"",IF(B300="","",IF(NOT(J300=""),SUBSTITUTE(SUBSTITUTE(SUBSTITUTE(J300," mR","")," oR","")," O",""),"")))),IF(AF300="","",_xlfn.CONCAT(CHAR(10),"; ",AF300)))</f>
        <v/>
      </c>
      <c r="AD300" s="124" t="str">
        <f t="shared" si="145"/>
        <v/>
      </c>
      <c r="AE300" s="19">
        <f t="shared" si="137"/>
        <v>0</v>
      </c>
      <c r="AF300" s="156"/>
    </row>
    <row r="301" spans="2:32" s="9" customFormat="1" ht="13">
      <c r="B301" s="6">
        <f t="shared" si="138"/>
        <v>44798</v>
      </c>
      <c r="C301" s="45">
        <f>SMALL(Daten!W:W,COUNTIF(Daten!W:W,"&lt;"&amp;Stundenaufzeichnung!B301+1))</f>
        <v>44578</v>
      </c>
      <c r="D301" s="45" t="str">
        <f t="shared" si="133"/>
        <v/>
      </c>
      <c r="E301" s="8">
        <f t="shared" si="134"/>
        <v>6</v>
      </c>
      <c r="F301" s="8">
        <f t="shared" si="139"/>
        <v>4</v>
      </c>
      <c r="G301" s="8">
        <f>IF(B301="","",VLOOKUP(E301,Datenblatt!$L$2:$N$8,3,FALSE))</f>
        <v>0</v>
      </c>
      <c r="H301" s="8" t="str">
        <f t="shared" si="140"/>
        <v/>
      </c>
      <c r="I301" s="11" t="str">
        <f>IFERROR(VLOOKUP(B301,Datenblatt!$E:$F,2,FALSE),"")</f>
        <v/>
      </c>
      <c r="J301" s="113"/>
      <c r="K301" s="19">
        <f>IF(B301&lt;Datenblatt!$B$9,"",IF(B301="","",IF(G301=0,Datenblatt!$B$7,"")))</f>
        <v>6.67</v>
      </c>
      <c r="L301" s="19" t="str">
        <f t="shared" si="141"/>
        <v/>
      </c>
      <c r="M301" s="124" t="str">
        <f t="shared" si="142"/>
        <v/>
      </c>
      <c r="N301" s="124" t="str">
        <f>IF(AND(L301=Datenblatt!$B$7,NOT(L300=Datenblatt!$B$7),NOT(L302=Datenblatt!$B$7)),"y",IF(AND(L301=Datenblatt!$B$7,L302=Datenblatt!$B$7,NOT(L300=Datenblatt!$B$7)),"a",IF(AND(L301=Datenblatt!$B$7,L300=Datenblatt!$B$7,NOT(L302=Datenblatt!$B$7)),"b","")))</f>
        <v/>
      </c>
      <c r="O301" s="19" t="str">
        <f t="shared" si="143"/>
        <v/>
      </c>
      <c r="P301" s="124" t="str">
        <f>IF(AND(M301=Datenblatt!$B$7,NOT(M300=Datenblatt!$B$7),NOT(M302=Datenblatt!$B$7)),"y",IF(AND(M301=Datenblatt!$B$7,M302=Datenblatt!$B$7,NOT(M300=Datenblatt!$B$7)),"a",IF(AND(M301=Datenblatt!$B$7,M300=Datenblatt!$B$7,NOT(M302=Datenblatt!$B$7)),"b","")))</f>
        <v/>
      </c>
      <c r="Q301" s="19" t="str">
        <f t="shared" si="144"/>
        <v/>
      </c>
      <c r="R301" s="124" t="str">
        <f>IF(I301="","",IF(AND(OR(J301="Krankenstand",J301="Urlaub",J301=""), AND(G301=0,NOT(I301=""))),Datenblatt!$B$7,""))</f>
        <v/>
      </c>
      <c r="S301" s="19" t="str">
        <f>IF(OR(J301="Krankenstand",J301="Urlaub"),"",IF(J301="","",VLOOKUP(D301,Dienste!C:W,21,)))</f>
        <v/>
      </c>
      <c r="T301" s="18" t="str">
        <f>IF(OR(J301="Krankenstand",J301="Urlaub"),"",IF(J301="","",VLOOKUP(D301,Dienste!C:W,5,)))</f>
        <v/>
      </c>
      <c r="U301" s="18" t="str">
        <f>IF(OR(J301="Krankenstand",J301="Urlaub"),"",IF(J301="","",VLOOKUP(D301,Dienste!C:W,6,)))</f>
        <v/>
      </c>
      <c r="V301" s="18" t="str">
        <f>IF(OR(J301="Krankenstand",J301="Urlaub"),"",IF(J301="","",VLOOKUP(D301,Dienste!C:W,7,)))</f>
        <v/>
      </c>
      <c r="W301" s="18" t="str">
        <f>IF(OR(J301="Krankenstand",J301="Urlaub"),"",IF(J301="","",VLOOKUP(D301,Dienste!C:W,11,)))</f>
        <v/>
      </c>
      <c r="X301" s="18" t="str">
        <f>IF(OR(J301="Krankenstand",J301="Urlaub"),"",IF(J301="","",VLOOKUP(D301,Dienste!C:W,12,)))</f>
        <v/>
      </c>
      <c r="Y301" s="19" t="str">
        <f>IF(OR(J301="Krankenstand",J301="Urlaub"),"",IF(J301="","",VLOOKUP(D301,Dienste!C:W,14,)))</f>
        <v/>
      </c>
      <c r="Z301" s="20" t="str">
        <f>IF(OR(J301="Krankenstand",J301="Urlaub"),"",IF(J301="","",VLOOKUP(D301,Dienste!C:W,15,)))</f>
        <v/>
      </c>
      <c r="AA301" s="124" t="str">
        <f t="shared" si="135"/>
        <v/>
      </c>
      <c r="AB301" s="19" t="str">
        <f t="shared" si="136"/>
        <v/>
      </c>
      <c r="AC301" s="126" t="str">
        <f>_xlfn.CONCAT(_xlfn.CONCAT(IF(I301="","",_xlfn.CONCAT("FT: ",I301,IF(J301="","","; "))),IF(B301&lt;Datenblatt!$B$9,"",IF(B301="","",IF(NOT(J301=""),SUBSTITUTE(SUBSTITUTE(SUBSTITUTE(J301," mR","")," oR","")," O",""),"")))),IF(AF301="","",_xlfn.CONCAT(CHAR(10),"; ",AF301)))</f>
        <v/>
      </c>
      <c r="AD301" s="124" t="str">
        <f t="shared" si="145"/>
        <v/>
      </c>
      <c r="AE301" s="19">
        <f t="shared" si="137"/>
        <v>0</v>
      </c>
      <c r="AF301" s="156"/>
    </row>
    <row r="302" spans="2:32" s="9" customFormat="1" ht="13">
      <c r="B302" s="6">
        <f t="shared" si="138"/>
        <v>44799</v>
      </c>
      <c r="C302" s="45">
        <f>SMALL(Daten!W:W,COUNTIF(Daten!W:W,"&lt;"&amp;Stundenaufzeichnung!B302+1))</f>
        <v>44578</v>
      </c>
      <c r="D302" s="45" t="str">
        <f t="shared" si="133"/>
        <v/>
      </c>
      <c r="E302" s="8">
        <f t="shared" si="134"/>
        <v>7</v>
      </c>
      <c r="F302" s="8">
        <f t="shared" si="139"/>
        <v>5</v>
      </c>
      <c r="G302" s="8">
        <f>IF(B302="","",VLOOKUP(E302,Datenblatt!$L$2:$N$8,3,FALSE))</f>
        <v>0</v>
      </c>
      <c r="H302" s="8" t="str">
        <f t="shared" si="140"/>
        <v/>
      </c>
      <c r="I302" s="11" t="str">
        <f>IFERROR(VLOOKUP(B302,Datenblatt!$E:$F,2,FALSE),"")</f>
        <v/>
      </c>
      <c r="J302" s="113"/>
      <c r="K302" s="19">
        <f>IF(B302&lt;Datenblatt!$B$9,"",IF(B302="","",IF(G302=0,Datenblatt!$B$7,"")))</f>
        <v>6.67</v>
      </c>
      <c r="L302" s="19" t="str">
        <f t="shared" si="141"/>
        <v/>
      </c>
      <c r="M302" s="124" t="str">
        <f t="shared" si="142"/>
        <v/>
      </c>
      <c r="N302" s="124" t="str">
        <f>IF(AND(L302=Datenblatt!$B$7,NOT(L301=Datenblatt!$B$7),NOT(L303=Datenblatt!$B$7)),"y",IF(AND(L302=Datenblatt!$B$7,L303=Datenblatt!$B$7,NOT(L301=Datenblatt!$B$7)),"a",IF(AND(L302=Datenblatt!$B$7,L301=Datenblatt!$B$7,NOT(L303=Datenblatt!$B$7)),"b","")))</f>
        <v/>
      </c>
      <c r="O302" s="19" t="str">
        <f t="shared" si="143"/>
        <v/>
      </c>
      <c r="P302" s="124" t="str">
        <f>IF(AND(M302=Datenblatt!$B$7,NOT(M301=Datenblatt!$B$7),NOT(M303=Datenblatt!$B$7)),"y",IF(AND(M302=Datenblatt!$B$7,M303=Datenblatt!$B$7,NOT(M301=Datenblatt!$B$7)),"a",IF(AND(M302=Datenblatt!$B$7,M301=Datenblatt!$B$7,NOT(M303=Datenblatt!$B$7)),"b","")))</f>
        <v/>
      </c>
      <c r="Q302" s="19" t="str">
        <f t="shared" si="144"/>
        <v/>
      </c>
      <c r="R302" s="124" t="str">
        <f>IF(I302="","",IF(AND(OR(J302="Krankenstand",J302="Urlaub",J302=""), AND(G302=0,NOT(I302=""))),Datenblatt!$B$7,""))</f>
        <v/>
      </c>
      <c r="S302" s="19" t="str">
        <f>IF(OR(J302="Krankenstand",J302="Urlaub"),"",IF(J302="","",VLOOKUP(D302,Dienste!C:W,21,)))</f>
        <v/>
      </c>
      <c r="T302" s="18" t="str">
        <f>IF(OR(J302="Krankenstand",J302="Urlaub"),"",IF(J302="","",VLOOKUP(D302,Dienste!C:W,5,)))</f>
        <v/>
      </c>
      <c r="U302" s="18" t="str">
        <f>IF(OR(J302="Krankenstand",J302="Urlaub"),"",IF(J302="","",VLOOKUP(D302,Dienste!C:W,6,)))</f>
        <v/>
      </c>
      <c r="V302" s="18" t="str">
        <f>IF(OR(J302="Krankenstand",J302="Urlaub"),"",IF(J302="","",VLOOKUP(D302,Dienste!C:W,7,)))</f>
        <v/>
      </c>
      <c r="W302" s="18" t="str">
        <f>IF(OR(J302="Krankenstand",J302="Urlaub"),"",IF(J302="","",VLOOKUP(D302,Dienste!C:W,11,)))</f>
        <v/>
      </c>
      <c r="X302" s="18" t="str">
        <f>IF(OR(J302="Krankenstand",J302="Urlaub"),"",IF(J302="","",VLOOKUP(D302,Dienste!C:W,12,)))</f>
        <v/>
      </c>
      <c r="Y302" s="19" t="str">
        <f>IF(OR(J302="Krankenstand",J302="Urlaub"),"",IF(J302="","",VLOOKUP(D302,Dienste!C:W,14,)))</f>
        <v/>
      </c>
      <c r="Z302" s="20" t="str">
        <f>IF(OR(J302="Krankenstand",J302="Urlaub"),"",IF(J302="","",VLOOKUP(D302,Dienste!C:W,15,)))</f>
        <v/>
      </c>
      <c r="AA302" s="124" t="str">
        <f t="shared" si="135"/>
        <v/>
      </c>
      <c r="AB302" s="19" t="str">
        <f t="shared" si="136"/>
        <v/>
      </c>
      <c r="AC302" s="126" t="str">
        <f>_xlfn.CONCAT(_xlfn.CONCAT(IF(I302="","",_xlfn.CONCAT("FT: ",I302,IF(J302="","","; "))),IF(B302&lt;Datenblatt!$B$9,"",IF(B302="","",IF(NOT(J302=""),SUBSTITUTE(SUBSTITUTE(SUBSTITUTE(J302," mR","")," oR","")," O",""),"")))),IF(AF302="","",_xlfn.CONCAT(CHAR(10),"; ",AF302)))</f>
        <v/>
      </c>
      <c r="AD302" s="124" t="str">
        <f t="shared" si="145"/>
        <v/>
      </c>
      <c r="AE302" s="19">
        <f t="shared" si="137"/>
        <v>0</v>
      </c>
      <c r="AF302" s="156"/>
    </row>
    <row r="303" spans="2:32" s="9" customFormat="1" ht="13">
      <c r="B303" s="6">
        <f t="shared" si="138"/>
        <v>44800</v>
      </c>
      <c r="C303" s="45">
        <f>SMALL(Daten!W:W,COUNTIF(Daten!W:W,"&lt;"&amp;Stundenaufzeichnung!B303+1))</f>
        <v>44578</v>
      </c>
      <c r="D303" s="45" t="str">
        <f t="shared" si="133"/>
        <v/>
      </c>
      <c r="E303" s="8">
        <f t="shared" si="134"/>
        <v>1</v>
      </c>
      <c r="F303" s="8">
        <f t="shared" si="139"/>
        <v>6</v>
      </c>
      <c r="G303" s="8">
        <f>IF(B303="","",VLOOKUP(E303,Datenblatt!$L$2:$N$8,3,FALSE))</f>
        <v>0</v>
      </c>
      <c r="H303" s="8" t="str">
        <f t="shared" si="140"/>
        <v/>
      </c>
      <c r="I303" s="11" t="str">
        <f>IFERROR(VLOOKUP(B303,Datenblatt!$E:$F,2,FALSE),"")</f>
        <v/>
      </c>
      <c r="J303" s="113"/>
      <c r="K303" s="19">
        <f>IF(B303&lt;Datenblatt!$B$9,"",IF(B303="","",IF(G303=0,Datenblatt!$B$7,"")))</f>
        <v>6.67</v>
      </c>
      <c r="L303" s="19" t="str">
        <f t="shared" si="141"/>
        <v/>
      </c>
      <c r="M303" s="124" t="str">
        <f t="shared" si="142"/>
        <v/>
      </c>
      <c r="N303" s="124" t="str">
        <f>IF(AND(L303=Datenblatt!$B$7,NOT(L302=Datenblatt!$B$7),NOT(L304=Datenblatt!$B$7)),"y",IF(AND(L303=Datenblatt!$B$7,L304=Datenblatt!$B$7,NOT(L302=Datenblatt!$B$7)),"a",IF(AND(L303=Datenblatt!$B$7,L302=Datenblatt!$B$7,NOT(L304=Datenblatt!$B$7)),"b","")))</f>
        <v/>
      </c>
      <c r="O303" s="19" t="str">
        <f t="shared" si="143"/>
        <v/>
      </c>
      <c r="P303" s="124" t="str">
        <f>IF(AND(M303=Datenblatt!$B$7,NOT(M302=Datenblatt!$B$7),NOT(M304=Datenblatt!$B$7)),"y",IF(AND(M303=Datenblatt!$B$7,M304=Datenblatt!$B$7,NOT(M302=Datenblatt!$B$7)),"a",IF(AND(M303=Datenblatt!$B$7,M302=Datenblatt!$B$7,NOT(M304=Datenblatt!$B$7)),"b","")))</f>
        <v/>
      </c>
      <c r="Q303" s="19" t="str">
        <f t="shared" si="144"/>
        <v/>
      </c>
      <c r="R303" s="124" t="str">
        <f>IF(I303="","",IF(AND(OR(J303="Krankenstand",J303="Urlaub",J303=""), AND(G303=0,NOT(I303=""))),Datenblatt!$B$7,""))</f>
        <v/>
      </c>
      <c r="S303" s="19" t="str">
        <f>IF(OR(J303="Krankenstand",J303="Urlaub"),"",IF(J303="","",VLOOKUP(D303,Dienste!C:W,21,)))</f>
        <v/>
      </c>
      <c r="T303" s="18" t="str">
        <f>IF(OR(J303="Krankenstand",J303="Urlaub"),"",IF(J303="","",VLOOKUP(D303,Dienste!C:W,5,)))</f>
        <v/>
      </c>
      <c r="U303" s="18" t="str">
        <f>IF(OR(J303="Krankenstand",J303="Urlaub"),"",IF(J303="","",VLOOKUP(D303,Dienste!C:W,6,)))</f>
        <v/>
      </c>
      <c r="V303" s="18" t="str">
        <f>IF(OR(J303="Krankenstand",J303="Urlaub"),"",IF(J303="","",VLOOKUP(D303,Dienste!C:W,7,)))</f>
        <v/>
      </c>
      <c r="W303" s="18" t="str">
        <f>IF(OR(J303="Krankenstand",J303="Urlaub"),"",IF(J303="","",VLOOKUP(D303,Dienste!C:W,11,)))</f>
        <v/>
      </c>
      <c r="X303" s="18" t="str">
        <f>IF(OR(J303="Krankenstand",J303="Urlaub"),"",IF(J303="","",VLOOKUP(D303,Dienste!C:W,12,)))</f>
        <v/>
      </c>
      <c r="Y303" s="19" t="str">
        <f>IF(OR(J303="Krankenstand",J303="Urlaub"),"",IF(J303="","",VLOOKUP(D303,Dienste!C:W,14,)))</f>
        <v/>
      </c>
      <c r="Z303" s="20" t="str">
        <f>IF(OR(J303="Krankenstand",J303="Urlaub"),"",IF(J303="","",VLOOKUP(D303,Dienste!C:W,15,)))</f>
        <v/>
      </c>
      <c r="AA303" s="124" t="str">
        <f t="shared" si="135"/>
        <v/>
      </c>
      <c r="AB303" s="19" t="str">
        <f t="shared" si="136"/>
        <v/>
      </c>
      <c r="AC303" s="126" t="str">
        <f>_xlfn.CONCAT(_xlfn.CONCAT(IF(I303="","",_xlfn.CONCAT("FT: ",I303,IF(J303="","","; "))),IF(B303&lt;Datenblatt!$B$9,"",IF(B303="","",IF(NOT(J303=""),SUBSTITUTE(SUBSTITUTE(SUBSTITUTE(J303," mR","")," oR","")," O",""),"")))),IF(AF303="","",_xlfn.CONCAT(CHAR(10),"; ",AF303)))</f>
        <v/>
      </c>
      <c r="AD303" s="124" t="str">
        <f t="shared" si="145"/>
        <v/>
      </c>
      <c r="AE303" s="19">
        <f t="shared" si="137"/>
        <v>0</v>
      </c>
      <c r="AF303" s="156"/>
    </row>
    <row r="304" spans="2:32" s="9" customFormat="1" ht="13">
      <c r="B304" s="6">
        <f t="shared" si="138"/>
        <v>44801</v>
      </c>
      <c r="C304" s="45">
        <f>SMALL(Daten!W:W,COUNTIF(Daten!W:W,"&lt;"&amp;Stundenaufzeichnung!B304+1))</f>
        <v>44578</v>
      </c>
      <c r="D304" s="45" t="str">
        <f t="shared" si="133"/>
        <v/>
      </c>
      <c r="E304" s="8">
        <f t="shared" si="134"/>
        <v>2</v>
      </c>
      <c r="F304" s="8">
        <f t="shared" si="139"/>
        <v>7</v>
      </c>
      <c r="G304" s="8">
        <f>IF(B304="","",VLOOKUP(E304,Datenblatt!$L$2:$N$8,3,FALSE))</f>
        <v>1</v>
      </c>
      <c r="H304" s="8" t="str">
        <f t="shared" si="140"/>
        <v>x</v>
      </c>
      <c r="I304" s="11" t="str">
        <f>IFERROR(VLOOKUP(B304,Datenblatt!$E:$F,2,FALSE),"")</f>
        <v/>
      </c>
      <c r="J304" s="113"/>
      <c r="K304" s="19" t="str">
        <f>IF(B304&lt;Datenblatt!$B$9,"",IF(B304="","",IF(G304=0,Datenblatt!$B$7,"")))</f>
        <v/>
      </c>
      <c r="L304" s="19" t="str">
        <f t="shared" si="141"/>
        <v/>
      </c>
      <c r="M304" s="124" t="str">
        <f t="shared" si="142"/>
        <v/>
      </c>
      <c r="N304" s="124" t="str">
        <f>IF(AND(L304=Datenblatt!$B$7,NOT(L303=Datenblatt!$B$7),NOT(L305=Datenblatt!$B$7)),"y",IF(AND(L304=Datenblatt!$B$7,L305=Datenblatt!$B$7,NOT(L303=Datenblatt!$B$7)),"a",IF(AND(L304=Datenblatt!$B$7,L303=Datenblatt!$B$7,NOT(L305=Datenblatt!$B$7)),"b","")))</f>
        <v/>
      </c>
      <c r="O304" s="19" t="str">
        <f t="shared" si="143"/>
        <v/>
      </c>
      <c r="P304" s="124" t="str">
        <f>IF(AND(M304=Datenblatt!$B$7,NOT(M303=Datenblatt!$B$7),NOT(M305=Datenblatt!$B$7)),"y",IF(AND(M304=Datenblatt!$B$7,M305=Datenblatt!$B$7,NOT(M303=Datenblatt!$B$7)),"a",IF(AND(M304=Datenblatt!$B$7,M303=Datenblatt!$B$7,NOT(M305=Datenblatt!$B$7)),"b","")))</f>
        <v/>
      </c>
      <c r="Q304" s="19" t="str">
        <f t="shared" si="144"/>
        <v/>
      </c>
      <c r="R304" s="124" t="str">
        <f>IF(I304="","",IF(AND(OR(J304="Krankenstand",J304="Urlaub",J304=""), AND(G304=0,NOT(I304=""))),Datenblatt!$B$7,""))</f>
        <v/>
      </c>
      <c r="S304" s="19" t="str">
        <f>IF(OR(J304="Krankenstand",J304="Urlaub"),"",IF(J304="","",VLOOKUP(D304,Dienste!C:W,21,)))</f>
        <v/>
      </c>
      <c r="T304" s="18" t="str">
        <f>IF(OR(J304="Krankenstand",J304="Urlaub"),"",IF(J304="","",VLOOKUP(D304,Dienste!C:W,5,)))</f>
        <v/>
      </c>
      <c r="U304" s="18" t="str">
        <f>IF(OR(J304="Krankenstand",J304="Urlaub"),"",IF(J304="","",VLOOKUP(D304,Dienste!C:W,6,)))</f>
        <v/>
      </c>
      <c r="V304" s="18" t="str">
        <f>IF(OR(J304="Krankenstand",J304="Urlaub"),"",IF(J304="","",VLOOKUP(D304,Dienste!C:W,7,)))</f>
        <v/>
      </c>
      <c r="W304" s="18" t="str">
        <f>IF(OR(J304="Krankenstand",J304="Urlaub"),"",IF(J304="","",VLOOKUP(D304,Dienste!C:W,11,)))</f>
        <v/>
      </c>
      <c r="X304" s="18" t="str">
        <f>IF(OR(J304="Krankenstand",J304="Urlaub"),"",IF(J304="","",VLOOKUP(D304,Dienste!C:W,12,)))</f>
        <v/>
      </c>
      <c r="Y304" s="19" t="str">
        <f>IF(OR(J304="Krankenstand",J304="Urlaub"),"",IF(J304="","",VLOOKUP(D304,Dienste!C:W,14,)))</f>
        <v/>
      </c>
      <c r="Z304" s="20" t="str">
        <f>IF(OR(J304="Krankenstand",J304="Urlaub"),"",IF(J304="","",VLOOKUP(D304,Dienste!C:W,15,)))</f>
        <v/>
      </c>
      <c r="AA304" s="124" t="str">
        <f t="shared" si="135"/>
        <v/>
      </c>
      <c r="AB304" s="19" t="str">
        <f t="shared" si="136"/>
        <v/>
      </c>
      <c r="AC304" s="126" t="str">
        <f>_xlfn.CONCAT(_xlfn.CONCAT(IF(I304="","",_xlfn.CONCAT("FT: ",I304,IF(J304="","","; "))),IF(B304&lt;Datenblatt!$B$9,"",IF(B304="","",IF(NOT(J304=""),SUBSTITUTE(SUBSTITUTE(SUBSTITUTE(J304," mR","")," oR","")," O",""),"")))),IF(AF304="","",_xlfn.CONCAT(CHAR(10),"; ",AF304)))</f>
        <v/>
      </c>
      <c r="AD304" s="124" t="str">
        <f t="shared" si="145"/>
        <v/>
      </c>
      <c r="AE304" s="19">
        <f t="shared" si="137"/>
        <v>0</v>
      </c>
      <c r="AF304" s="156"/>
    </row>
    <row r="305" spans="1:32" s="9" customFormat="1" ht="13">
      <c r="B305" s="6">
        <f>IF(B304="","",IF(DAY(B304+1)&lt;29,"",B304+1))</f>
        <v>44802</v>
      </c>
      <c r="C305" s="45">
        <f>SMALL(Daten!W:W,COUNTIF(Daten!W:W,"&lt;"&amp;Stundenaufzeichnung!B305+1))</f>
        <v>44578</v>
      </c>
      <c r="D305" s="45" t="str">
        <f t="shared" si="133"/>
        <v/>
      </c>
      <c r="E305" s="8">
        <f t="shared" si="134"/>
        <v>3</v>
      </c>
      <c r="F305" s="8">
        <f>IF(B305="","",MOD(E305+$F$3,7)+1)</f>
        <v>1</v>
      </c>
      <c r="G305" s="8">
        <f>IF(B305="","",VLOOKUP(E305,Datenblatt!$L$2:$N$8,3,FALSE))</f>
        <v>0</v>
      </c>
      <c r="H305" s="8" t="str">
        <f t="shared" si="140"/>
        <v/>
      </c>
      <c r="I305" s="11" t="str">
        <f>IFERROR(VLOOKUP(B305,Datenblatt!$E:$F,2,FALSE),"")</f>
        <v/>
      </c>
      <c r="J305" s="113"/>
      <c r="K305" s="19">
        <f>IF(B305&lt;Datenblatt!$B$9,"",IF(B305="","",IF(G305=0,Datenblatt!$B$7,"")))</f>
        <v>6.67</v>
      </c>
      <c r="L305" s="19" t="str">
        <f t="shared" si="141"/>
        <v/>
      </c>
      <c r="M305" s="124" t="str">
        <f t="shared" si="142"/>
        <v/>
      </c>
      <c r="N305" s="124" t="str">
        <f>IF(AND(L305=Datenblatt!$B$7,NOT(L304=Datenblatt!$B$7),NOT(L306=Datenblatt!$B$7)),"y",IF(AND(L305=Datenblatt!$B$7,L306=Datenblatt!$B$7,NOT(L304=Datenblatt!$B$7)),"a",IF(AND(L305=Datenblatt!$B$7,L304=Datenblatt!$B$7,NOT(L306=Datenblatt!$B$7)),"b","")))</f>
        <v/>
      </c>
      <c r="O305" s="19" t="str">
        <f t="shared" si="143"/>
        <v/>
      </c>
      <c r="P305" s="124" t="str">
        <f>IF(AND(M305=Datenblatt!$B$7,NOT(M304=Datenblatt!$B$7),NOT(M306=Datenblatt!$B$7)),"y",IF(AND(M305=Datenblatt!$B$7,M306=Datenblatt!$B$7,NOT(M304=Datenblatt!$B$7)),"a",IF(AND(M305=Datenblatt!$B$7,M304=Datenblatt!$B$7,NOT(M306=Datenblatt!$B$7)),"b","")))</f>
        <v/>
      </c>
      <c r="Q305" s="19" t="str">
        <f t="shared" si="144"/>
        <v/>
      </c>
      <c r="R305" s="124" t="str">
        <f>IF(I305="","",IF(AND(OR(J305="Krankenstand",J305="Urlaub",J305=""), AND(G305=0,NOT(I305=""))),Datenblatt!$B$7,""))</f>
        <v/>
      </c>
      <c r="S305" s="19" t="str">
        <f>IF(OR(J305="Krankenstand",J305="Urlaub"),"",IF(J305="","",VLOOKUP(D305,Dienste!C:W,21,)))</f>
        <v/>
      </c>
      <c r="T305" s="18" t="str">
        <f>IF(OR(J305="Krankenstand",J305="Urlaub"),"",IF(J305="","",VLOOKUP(D305,Dienste!C:W,5,)))</f>
        <v/>
      </c>
      <c r="U305" s="18" t="str">
        <f>IF(OR(J305="Krankenstand",J305="Urlaub"),"",IF(J305="","",VLOOKUP(D305,Dienste!C:W,6,)))</f>
        <v/>
      </c>
      <c r="V305" s="18" t="str">
        <f>IF(OR(J305="Krankenstand",J305="Urlaub"),"",IF(J305="","",VLOOKUP(D305,Dienste!C:W,7,)))</f>
        <v/>
      </c>
      <c r="W305" s="18" t="str">
        <f>IF(OR(J305="Krankenstand",J305="Urlaub"),"",IF(J305="","",VLOOKUP(D305,Dienste!C:W,11,)))</f>
        <v/>
      </c>
      <c r="X305" s="18" t="str">
        <f>IF(OR(J305="Krankenstand",J305="Urlaub"),"",IF(J305="","",VLOOKUP(D305,Dienste!C:W,12,)))</f>
        <v/>
      </c>
      <c r="Y305" s="19" t="str">
        <f>IF(OR(J305="Krankenstand",J305="Urlaub"),"",IF(J305="","",VLOOKUP(D305,Dienste!C:W,14,)))</f>
        <v/>
      </c>
      <c r="Z305" s="20" t="str">
        <f>IF(OR(J305="Krankenstand",J305="Urlaub"),"",IF(J305="","",VLOOKUP(D305,Dienste!C:W,15,)))</f>
        <v/>
      </c>
      <c r="AA305" s="124" t="str">
        <f t="shared" si="135"/>
        <v/>
      </c>
      <c r="AB305" s="19" t="str">
        <f t="shared" si="136"/>
        <v/>
      </c>
      <c r="AC305" s="126" t="str">
        <f>_xlfn.CONCAT(_xlfn.CONCAT(IF(I305="","",_xlfn.CONCAT("FT: ",I305,IF(J305="","","; "))),IF(B305&lt;Datenblatt!$B$9,"",IF(B305="","",IF(NOT(J305=""),SUBSTITUTE(SUBSTITUTE(SUBSTITUTE(J305," mR","")," oR","")," O",""),"")))),IF(AF305="","",_xlfn.CONCAT(CHAR(10),"; ",AF305)))</f>
        <v/>
      </c>
      <c r="AD305" s="124" t="str">
        <f t="shared" si="145"/>
        <v/>
      </c>
      <c r="AE305" s="19">
        <f t="shared" si="137"/>
        <v>0</v>
      </c>
      <c r="AF305" s="156"/>
    </row>
    <row r="306" spans="1:32" s="9" customFormat="1" ht="13">
      <c r="B306" s="6">
        <f>IF(B305="","",IF(DAY(B305+1)&lt;30,"",B305+1))</f>
        <v>44803</v>
      </c>
      <c r="C306" s="45">
        <f>SMALL(Daten!W:W,COUNTIF(Daten!W:W,"&lt;"&amp;Stundenaufzeichnung!B306+1))</f>
        <v>44578</v>
      </c>
      <c r="D306" s="45" t="str">
        <f t="shared" si="133"/>
        <v/>
      </c>
      <c r="E306" s="8">
        <f t="shared" si="134"/>
        <v>4</v>
      </c>
      <c r="F306" s="8">
        <f>IF(B306="","",MOD(E306+$F$3,7)+1)</f>
        <v>2</v>
      </c>
      <c r="G306" s="8">
        <f>IF(B306="","",VLOOKUP(E306,Datenblatt!$L$2:$N$8,3,FALSE))</f>
        <v>0</v>
      </c>
      <c r="H306" s="8" t="str">
        <f t="shared" si="140"/>
        <v/>
      </c>
      <c r="I306" s="11" t="str">
        <f>IFERROR(VLOOKUP(B306,Datenblatt!$E:$F,2,FALSE),"")</f>
        <v/>
      </c>
      <c r="J306" s="113"/>
      <c r="K306" s="19">
        <f>IF(B306&lt;Datenblatt!$B$9,"",IF(B306="","",IF(G306=0,Datenblatt!$B$7,"")))</f>
        <v>6.67</v>
      </c>
      <c r="L306" s="19" t="str">
        <f t="shared" si="141"/>
        <v/>
      </c>
      <c r="M306" s="124" t="str">
        <f t="shared" si="142"/>
        <v/>
      </c>
      <c r="N306" s="124" t="str">
        <f>IF(AND(L306=Datenblatt!$B$7,NOT(L305=Datenblatt!$B$7),NOT(L307=Datenblatt!$B$7)),"y",IF(AND(L306=Datenblatt!$B$7,L307=Datenblatt!$B$7,NOT(L305=Datenblatt!$B$7)),"a",IF(AND(L306=Datenblatt!$B$7,L305=Datenblatt!$B$7,NOT(L307=Datenblatt!$B$7)),"b","")))</f>
        <v/>
      </c>
      <c r="O306" s="19" t="str">
        <f t="shared" si="143"/>
        <v/>
      </c>
      <c r="P306" s="124" t="str">
        <f>IF(AND(M306=Datenblatt!$B$7,NOT(M305=Datenblatt!$B$7),NOT(M307=Datenblatt!$B$7)),"y",IF(AND(M306=Datenblatt!$B$7,M307=Datenblatt!$B$7,NOT(M305=Datenblatt!$B$7)),"a",IF(AND(M306=Datenblatt!$B$7,M305=Datenblatt!$B$7,NOT(M307=Datenblatt!$B$7)),"b","")))</f>
        <v/>
      </c>
      <c r="Q306" s="19" t="str">
        <f t="shared" si="144"/>
        <v/>
      </c>
      <c r="R306" s="124" t="str">
        <f>IF(I306="","",IF(AND(OR(J306="Krankenstand",J306="Urlaub",J306=""), AND(G306=0,NOT(I306=""))),Datenblatt!$B$7,""))</f>
        <v/>
      </c>
      <c r="S306" s="19" t="str">
        <f>IF(OR(J306="Krankenstand",J306="Urlaub"),"",IF(J306="","",VLOOKUP(D306,Dienste!C:W,21,)))</f>
        <v/>
      </c>
      <c r="T306" s="18" t="str">
        <f>IF(OR(J306="Krankenstand",J306="Urlaub"),"",IF(J306="","",VLOOKUP(D306,Dienste!C:W,5,)))</f>
        <v/>
      </c>
      <c r="U306" s="18" t="str">
        <f>IF(OR(J306="Krankenstand",J306="Urlaub"),"",IF(J306="","",VLOOKUP(D306,Dienste!C:W,6,)))</f>
        <v/>
      </c>
      <c r="V306" s="18" t="str">
        <f>IF(OR(J306="Krankenstand",J306="Urlaub"),"",IF(J306="","",VLOOKUP(D306,Dienste!C:W,7,)))</f>
        <v/>
      </c>
      <c r="W306" s="18" t="str">
        <f>IF(OR(J306="Krankenstand",J306="Urlaub"),"",IF(J306="","",VLOOKUP(D306,Dienste!C:W,11,)))</f>
        <v/>
      </c>
      <c r="X306" s="18" t="str">
        <f>IF(OR(J306="Krankenstand",J306="Urlaub"),"",IF(J306="","",VLOOKUP(D306,Dienste!C:W,12,)))</f>
        <v/>
      </c>
      <c r="Y306" s="19" t="str">
        <f>IF(OR(J306="Krankenstand",J306="Urlaub"),"",IF(J306="","",VLOOKUP(D306,Dienste!C:W,14,)))</f>
        <v/>
      </c>
      <c r="Z306" s="20" t="str">
        <f>IF(OR(J306="Krankenstand",J306="Urlaub"),"",IF(J306="","",VLOOKUP(D306,Dienste!C:W,15,)))</f>
        <v/>
      </c>
      <c r="AA306" s="124" t="str">
        <f>IF(OR(Y306="",NOT(AB306="")),"",IF(AND(Y306&lt;AE307,AE307&gt;0),Y306,IF(AE307&gt;0,AE307,"")))</f>
        <v/>
      </c>
      <c r="AB306" s="19" t="str">
        <f t="shared" si="136"/>
        <v/>
      </c>
      <c r="AC306" s="126" t="str">
        <f>_xlfn.CONCAT(_xlfn.CONCAT(IF(I306="","",_xlfn.CONCAT("FT: ",I306,IF(J306="","","; "))),IF(B306&lt;Datenblatt!$B$9,"",IF(B306="","",IF(NOT(J306=""),SUBSTITUTE(SUBSTITUTE(SUBSTITUTE(J306," mR","")," oR","")," O",""),"")))),IF(AF306="","",_xlfn.CONCAT(CHAR(10),"; ",AF306)))</f>
        <v/>
      </c>
      <c r="AD306" s="124" t="str">
        <f t="shared" si="145"/>
        <v/>
      </c>
      <c r="AE306" s="19">
        <f t="shared" si="137"/>
        <v>0</v>
      </c>
      <c r="AF306" s="156"/>
    </row>
    <row r="307" spans="1:32" s="9" customFormat="1" ht="13">
      <c r="B307" s="28">
        <f>IF(B306="","",IF(DAY(B306+1)&lt;31,"",B306+1))</f>
        <v>44804</v>
      </c>
      <c r="C307" s="47">
        <f>SMALL(Daten!W:W,COUNTIF(Daten!W:W,"&lt;"&amp;Stundenaufzeichnung!B307+1))</f>
        <v>44578</v>
      </c>
      <c r="D307" s="47" t="str">
        <f t="shared" si="133"/>
        <v/>
      </c>
      <c r="E307" s="29">
        <f t="shared" si="134"/>
        <v>5</v>
      </c>
      <c r="F307" s="29">
        <f>IF(B307="","",MOD(E307+$F$3,7)+1)</f>
        <v>3</v>
      </c>
      <c r="G307" s="29">
        <f>IF(B307="","",VLOOKUP(E307,Datenblatt!$L$2:$N$8,3,FALSE))</f>
        <v>0</v>
      </c>
      <c r="H307" s="29" t="str">
        <f t="shared" si="140"/>
        <v/>
      </c>
      <c r="I307" s="123" t="str">
        <f>IFERROR(VLOOKUP(B307,Datenblatt!$E:$F,2,FALSE),"")</f>
        <v/>
      </c>
      <c r="J307" s="114"/>
      <c r="K307" s="30">
        <f>IF(B307&lt;Datenblatt!$B$9,"",IF(B307="","",IF(G307=0,Datenblatt!$B$7,"")))</f>
        <v>6.67</v>
      </c>
      <c r="L307" s="30" t="str">
        <f t="shared" si="141"/>
        <v/>
      </c>
      <c r="M307" s="30" t="str">
        <f t="shared" si="142"/>
        <v/>
      </c>
      <c r="N307" s="30" t="str">
        <f>IF(AND(L307=Datenblatt!$B$7,NOT(L306=Datenblatt!$B$7),NOT(L308=Datenblatt!$B$7)),"y",IF(AND(L307=Datenblatt!$B$7,L308=Datenblatt!$B$7,NOT(L306=Datenblatt!$B$7)),"a",IF(AND(L307=Datenblatt!$B$7,L306=Datenblatt!$B$7,NOT(L308=Datenblatt!$B$7)),"b","")))</f>
        <v/>
      </c>
      <c r="O307" s="30" t="str">
        <f t="shared" si="143"/>
        <v/>
      </c>
      <c r="P307" s="30" t="str">
        <f>IF(AND(M307=Datenblatt!$B$7,NOT(M306=Datenblatt!$B$7),NOT(M308=Datenblatt!$B$7)),"y",IF(AND(M307=Datenblatt!$B$7,M308=Datenblatt!$B$7,NOT(M306=Datenblatt!$B$7)),"a",IF(AND(M307=Datenblatt!$B$7,M306=Datenblatt!$B$7,NOT(M308=Datenblatt!$B$7)),"b","")))</f>
        <v/>
      </c>
      <c r="Q307" s="30" t="str">
        <f t="shared" si="144"/>
        <v/>
      </c>
      <c r="R307" s="30" t="str">
        <f>IF(I307="","",IF(AND(OR(J307="Krankenstand",J307="Urlaub",J307=""), AND(G307=0,NOT(I307=""))),Datenblatt!$B$7,""))</f>
        <v/>
      </c>
      <c r="S307" s="30" t="str">
        <f>IF(OR(J307="Krankenstand",J307="Urlaub"),"",IF(J307="","",VLOOKUP(D307,Dienste!C:W,21,)))</f>
        <v/>
      </c>
      <c r="T307" s="31" t="str">
        <f>IF(OR(J307="Krankenstand",J307="Urlaub"),"",IF(J307="","",VLOOKUP(D307,Dienste!C:W,5,)))</f>
        <v/>
      </c>
      <c r="U307" s="31" t="str">
        <f>IF(OR(J307="Krankenstand",J307="Urlaub"),"",IF(J307="","",VLOOKUP(D307,Dienste!C:W,6,)))</f>
        <v/>
      </c>
      <c r="V307" s="31" t="str">
        <f>IF(OR(J307="Krankenstand",J307="Urlaub"),"",IF(J307="","",VLOOKUP(D307,Dienste!C:W,7,)))</f>
        <v/>
      </c>
      <c r="W307" s="31" t="str">
        <f>IF(OR(J307="Krankenstand",J307="Urlaub"),"",IF(J307="","",VLOOKUP(D307,Dienste!C:W,11,)))</f>
        <v/>
      </c>
      <c r="X307" s="31" t="str">
        <f>IF(OR(J307="Krankenstand",J307="Urlaub"),"",IF(J307="","",VLOOKUP(D307,Dienste!C:W,12,)))</f>
        <v/>
      </c>
      <c r="Y307" s="30" t="str">
        <f>IF(OR(J307="Krankenstand",J307="Urlaub"),"",IF(J307="","",VLOOKUP(D307,Dienste!C:W,14,)))</f>
        <v/>
      </c>
      <c r="Z307" s="32" t="str">
        <f>IF(OR(J307="Krankenstand",J307="Urlaub"),"",IF(J307="","",VLOOKUP(D307,Dienste!C:W,15,)))</f>
        <v/>
      </c>
      <c r="AA307" s="30" t="str">
        <f>IF(OR(Y307="",NOT(AB307="")),"",IF(AND(Y307&lt;AE308,AE308&gt;0),Y307,IF(AE308&gt;0,AE308,"")))</f>
        <v/>
      </c>
      <c r="AB307" s="30" t="str">
        <f t="shared" si="136"/>
        <v/>
      </c>
      <c r="AC307" s="125" t="str">
        <f>_xlfn.CONCAT(_xlfn.CONCAT(IF(I307="","",_xlfn.CONCAT("FT: ",I307,IF(J307="","","; "))),IF(B307&lt;Datenblatt!$B$9,"",IF(B307="","",IF(NOT(J307=""),SUBSTITUTE(SUBSTITUTE(SUBSTITUTE(J307," mR","")," oR","")," O",""),"")))),IF(AF307="","",_xlfn.CONCAT(CHAR(10),"; ",AF307)))</f>
        <v/>
      </c>
      <c r="AD307" s="30" t="str">
        <f t="shared" si="145"/>
        <v/>
      </c>
      <c r="AE307" s="30">
        <f>IF(OR(Y307="",NOT(AB307="")),AE308,AE308-Y307)</f>
        <v>0</v>
      </c>
      <c r="AF307" s="157"/>
    </row>
    <row r="308" spans="1:32" s="8" customFormat="1" ht="13">
      <c r="AA308" s="19">
        <f>IF(AD309-AB309-K309&lt;0,0,AD309-AB309-K309)</f>
        <v>0</v>
      </c>
      <c r="AC308" s="17" t="s">
        <v>193</v>
      </c>
      <c r="AE308" s="19">
        <f>AA308</f>
        <v>0</v>
      </c>
      <c r="AF308" s="17"/>
    </row>
    <row r="309" spans="1:32" s="8" customFormat="1" ht="13">
      <c r="B309" s="25" t="str">
        <f>"Summen "&amp;TEXT(B277,"MMMM")</f>
        <v>Summen August</v>
      </c>
      <c r="C309" s="25"/>
      <c r="D309" s="25"/>
      <c r="E309" s="17"/>
      <c r="F309" s="17"/>
      <c r="G309" s="17"/>
      <c r="H309" s="17"/>
      <c r="I309" s="17"/>
      <c r="J309" s="17"/>
      <c r="K309" s="19">
        <f>SUM(K277:K307)</f>
        <v>180.08999999999992</v>
      </c>
      <c r="L309" s="19">
        <f t="shared" ref="L309:M309" si="146">SUM(L277:L307)</f>
        <v>0</v>
      </c>
      <c r="M309" s="19">
        <f t="shared" si="146"/>
        <v>0</v>
      </c>
      <c r="N309" s="19"/>
      <c r="O309" s="19" t="str">
        <f>IF(_xlfn.CONCAT(O277:O307)="","",REPLACE(_xlfn.CONCAT(O277:O307),LEN(_xlfn.CONCAT(O277:O307))-1,1,""))</f>
        <v/>
      </c>
      <c r="P309" s="19"/>
      <c r="Q309" s="19" t="str">
        <f t="shared" ref="Q309" si="147">IF(_xlfn.CONCAT(Q277:Q307)="","",REPLACE(_xlfn.CONCAT(Q277:Q307),LEN(_xlfn.CONCAT(Q277:Q307))-1,1,""))</f>
        <v/>
      </c>
      <c r="R309" s="19">
        <f t="shared" ref="R309:S309" si="148">SUM(R277:R307)</f>
        <v>6.67</v>
      </c>
      <c r="S309" s="19">
        <f t="shared" si="148"/>
        <v>0</v>
      </c>
      <c r="T309" s="19"/>
      <c r="U309" s="19"/>
      <c r="V309" s="19"/>
      <c r="W309" s="19"/>
      <c r="X309" s="17"/>
      <c r="Y309" s="19">
        <f>SUM(Y277:Y307)</f>
        <v>0</v>
      </c>
      <c r="Z309" s="20">
        <f>SUM(Z277:Z307)</f>
        <v>0</v>
      </c>
      <c r="AA309" s="26">
        <f>IF(AA308&gt;10,10,AA308)</f>
        <v>0</v>
      </c>
      <c r="AB309" s="19">
        <f t="shared" ref="AB309" si="149">SUM(AB277:AB307)</f>
        <v>0</v>
      </c>
      <c r="AC309" s="20">
        <f>R310</f>
        <v>1</v>
      </c>
      <c r="AD309" s="19">
        <f>SUM(AD277:AD307)</f>
        <v>6.67</v>
      </c>
      <c r="AE309" s="19"/>
      <c r="AF309" s="20"/>
    </row>
    <row r="310" spans="1:32" s="8" customFormat="1" ht="13">
      <c r="B310" s="25" t="str">
        <f>"Anzahl "&amp;TEXT(B277,"MMMM")</f>
        <v>Anzahl August</v>
      </c>
      <c r="C310" s="25"/>
      <c r="D310" s="25"/>
      <c r="E310" s="17"/>
      <c r="F310" s="17"/>
      <c r="G310" s="17"/>
      <c r="H310" s="17"/>
      <c r="I310" s="17"/>
      <c r="J310" s="17"/>
      <c r="K310" s="17">
        <f>COUNT(K277:K307)</f>
        <v>27</v>
      </c>
      <c r="L310" s="17">
        <f t="shared" ref="L310:M310" si="150">COUNT(L277:L307)</f>
        <v>0</v>
      </c>
      <c r="M310" s="17">
        <f t="shared" si="150"/>
        <v>0</v>
      </c>
      <c r="N310" s="17"/>
      <c r="O310" s="17"/>
      <c r="P310" s="17"/>
      <c r="Q310" s="17"/>
      <c r="R310" s="17">
        <f t="shared" ref="R310:S310" si="151">COUNT(R277:R307)</f>
        <v>1</v>
      </c>
      <c r="S310" s="17">
        <f t="shared" si="151"/>
        <v>0</v>
      </c>
      <c r="T310" s="17"/>
      <c r="U310" s="17"/>
      <c r="V310" s="17"/>
      <c r="W310" s="17"/>
      <c r="X310" s="17"/>
      <c r="Y310" s="17"/>
      <c r="Z310" s="17"/>
      <c r="AA310" s="27">
        <f>IF(AA308&gt;10,AA308-10,0)</f>
        <v>0</v>
      </c>
      <c r="AB310" s="17"/>
      <c r="AC310" s="17"/>
      <c r="AD310" s="17"/>
      <c r="AE310" s="17"/>
      <c r="AF310" s="17"/>
    </row>
    <row r="311" spans="1:32" s="8" customFormat="1" ht="13.5" thickBot="1">
      <c r="A311" s="10"/>
      <c r="B311" s="10"/>
      <c r="C311" s="10"/>
      <c r="D311" s="10"/>
      <c r="E311" s="10"/>
      <c r="F311" s="10"/>
      <c r="G311" s="10"/>
      <c r="H311" s="10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0"/>
      <c r="AB311" s="10"/>
      <c r="AC311" s="10"/>
      <c r="AD311" s="34"/>
      <c r="AE311" s="34"/>
      <c r="AF311" s="10"/>
    </row>
    <row r="312" spans="1:32" s="5" customFormat="1"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32" s="5" customFormat="1" ht="18.5">
      <c r="B313" s="33" t="s">
        <v>95</v>
      </c>
      <c r="C313" s="33"/>
      <c r="D313" s="33"/>
      <c r="E313" s="23"/>
      <c r="F313" s="23"/>
      <c r="G313" s="23"/>
      <c r="H313" s="23"/>
      <c r="I313" s="217" t="str">
        <f>Datenblatt!$B$4</f>
        <v>Dummy Name</v>
      </c>
      <c r="J313" s="217"/>
      <c r="K313" s="217"/>
      <c r="L313" s="217"/>
      <c r="M313" s="217"/>
      <c r="N313" s="217"/>
      <c r="O313" s="217"/>
      <c r="P313" s="217"/>
      <c r="Q313" s="217"/>
      <c r="R313" s="217"/>
      <c r="S313" s="217"/>
      <c r="T313" s="218" t="str">
        <f>TEXT(B316,"MMMM JJJJ")</f>
        <v>September 2022</v>
      </c>
      <c r="U313" s="218"/>
      <c r="V313" s="218"/>
      <c r="W313" s="218"/>
      <c r="X313" s="8"/>
      <c r="Y313" s="8"/>
      <c r="Z313" s="8"/>
    </row>
    <row r="314" spans="1:32" s="5" customFormat="1" ht="15" customHeight="1">
      <c r="I314" s="2"/>
      <c r="J314" s="2"/>
      <c r="K314" s="13"/>
      <c r="L314" s="13"/>
      <c r="M314" s="13"/>
      <c r="N314" s="13"/>
      <c r="O314" s="13"/>
      <c r="P314" s="13"/>
      <c r="Q314" s="13"/>
      <c r="R314" s="13"/>
      <c r="S314" s="13"/>
      <c r="T314" s="221" t="s">
        <v>43</v>
      </c>
      <c r="U314" s="221"/>
      <c r="V314" s="221" t="s">
        <v>45</v>
      </c>
      <c r="W314" s="221" t="s">
        <v>116</v>
      </c>
      <c r="X314" s="221" t="s">
        <v>11</v>
      </c>
      <c r="Y314" s="219" t="s">
        <v>194</v>
      </c>
      <c r="Z314" s="219" t="s">
        <v>7</v>
      </c>
      <c r="AA314" s="220" t="s">
        <v>49</v>
      </c>
      <c r="AB314" s="220"/>
      <c r="AC314" s="160"/>
      <c r="AD314" s="160"/>
    </row>
    <row r="315" spans="1:32" s="5" customFormat="1" ht="15" customHeight="1">
      <c r="B315" s="8"/>
      <c r="C315" s="8"/>
      <c r="D315" s="8" t="s">
        <v>161</v>
      </c>
      <c r="E315" s="8"/>
      <c r="F315" s="8">
        <f>VLOOKUP(Datenblatt!$B$8,Datenblatt!$J:$K,2,FALSE)</f>
        <v>4</v>
      </c>
      <c r="G315" s="8" t="s">
        <v>113</v>
      </c>
      <c r="H315" s="8"/>
      <c r="I315" s="12" t="s">
        <v>92</v>
      </c>
      <c r="J315" s="115" t="s">
        <v>12</v>
      </c>
      <c r="K315" s="12" t="s">
        <v>94</v>
      </c>
      <c r="L315" s="12" t="s">
        <v>85</v>
      </c>
      <c r="M315" s="12" t="s">
        <v>88</v>
      </c>
      <c r="N315" s="12" t="s">
        <v>117</v>
      </c>
      <c r="O315" s="12" t="s">
        <v>117</v>
      </c>
      <c r="P315" s="12" t="s">
        <v>118</v>
      </c>
      <c r="Q315" s="12" t="s">
        <v>118</v>
      </c>
      <c r="R315" s="12" t="s">
        <v>112</v>
      </c>
      <c r="S315" s="12" t="s">
        <v>115</v>
      </c>
      <c r="T315" s="15" t="s">
        <v>51</v>
      </c>
      <c r="U315" s="15" t="s">
        <v>50</v>
      </c>
      <c r="V315" s="222"/>
      <c r="W315" s="222"/>
      <c r="X315" s="222"/>
      <c r="Y315" s="219"/>
      <c r="Z315" s="219" t="s">
        <v>7</v>
      </c>
      <c r="AA315" s="21">
        <v>0.5</v>
      </c>
      <c r="AB315" s="16" t="s">
        <v>114</v>
      </c>
      <c r="AC315" s="16" t="s">
        <v>131</v>
      </c>
      <c r="AD315" s="16" t="s">
        <v>131</v>
      </c>
      <c r="AE315" s="128" t="s">
        <v>195</v>
      </c>
      <c r="AF315" s="16" t="s">
        <v>198</v>
      </c>
    </row>
    <row r="316" spans="1:32" s="9" customFormat="1" ht="13">
      <c r="A316" s="9">
        <f>A277+1</f>
        <v>9</v>
      </c>
      <c r="B316" s="6">
        <f>DATE(Datenblatt!$B$3,A316,1)</f>
        <v>44805</v>
      </c>
      <c r="C316" s="45">
        <f>SMALL(Daten!W:W,COUNTIF(Daten!W:W,"&lt;"&amp;Stundenaufzeichnung!B316+1))</f>
        <v>44578</v>
      </c>
      <c r="D316" s="45" t="str">
        <f t="shared" ref="D316:D346" si="152">IF(J316="","",CONCATENATE(C316," ",J316))</f>
        <v/>
      </c>
      <c r="E316" s="8">
        <f t="shared" ref="E316:E346" si="153">IF(B316="","",WEEKDAY(B316,16))</f>
        <v>6</v>
      </c>
      <c r="F316" s="8">
        <f>MOD(E316+$F$3,7)+1</f>
        <v>4</v>
      </c>
      <c r="G316" s="8">
        <f>IF(B316="","",VLOOKUP(E316,Datenblatt!$L$2:$N$8,3,FALSE))</f>
        <v>0</v>
      </c>
      <c r="H316" s="8" t="str">
        <f>IF(OR(G316=1),"x",IF(I316="","","x"))</f>
        <v/>
      </c>
      <c r="I316" s="11" t="str">
        <f>IFERROR(VLOOKUP(B316,Datenblatt!$E:$F,2,FALSE),"")</f>
        <v/>
      </c>
      <c r="J316" s="113"/>
      <c r="K316" s="19">
        <f>IF(B316&lt;Datenblatt!$B$9,"",IF(B316="","",IF(G316=0,Datenblatt!$B$7,"")))</f>
        <v>6.67</v>
      </c>
      <c r="L316" s="19" t="str">
        <f>IF(AND(J316="Krankenstand",R316=""),K316,"")</f>
        <v/>
      </c>
      <c r="M316" s="124" t="str">
        <f>IF(AND(J316="Urlaub",R316=""),K316,"")</f>
        <v/>
      </c>
      <c r="N316" s="124" t="str">
        <f>IF(AND(L316=Datenblatt!$B$7,NOT(L315=Datenblatt!$B$7),NOT(L317=Datenblatt!$B$7)),"y",IF(AND(L316=Datenblatt!$B$7,L317=Datenblatt!$B$7,NOT(L315=Datenblatt!$B$7)),"a",IF(AND(L316=Datenblatt!$B$7,L315=Datenblatt!$B$7,NOT(L317=Datenblatt!$B$7)),"b","")))</f>
        <v/>
      </c>
      <c r="O316" s="19" t="str">
        <f>IF(N316="a",TEXT(B316,"TT.MM.")&amp;" - ",IF(OR(N316="b",N316="y"),TEXT(B316,"TT.MM.")&amp;"; ",""))</f>
        <v/>
      </c>
      <c r="P316" s="124" t="str">
        <f>IF(AND(M316=Datenblatt!$B$7,NOT(M315=Datenblatt!$B$7),NOT(M317=Datenblatt!$B$7)),"y",IF(AND(M316=Datenblatt!$B$7,M317=Datenblatt!$B$7,NOT(M315=Datenblatt!$B$7)),"a",IF(AND(M316=Datenblatt!$B$7,M315=Datenblatt!$B$7,NOT(M317=Datenblatt!$B$7)),"b","")))</f>
        <v/>
      </c>
      <c r="Q316" s="19" t="str">
        <f>IF(P316="a",TEXT(B316,"TT.MM.")&amp;" - ",IF(OR(P316="b",P316="y"),TEXT(B316,"TT.MM.")&amp;"; ",""))</f>
        <v/>
      </c>
      <c r="R316" s="124" t="str">
        <f>IF(I316="","",IF(AND(OR(J316="Krankenstand",J316="Urlaub",J316=""), AND(G316=0,NOT(I316=""))),Datenblatt!$B$7,""))</f>
        <v/>
      </c>
      <c r="S316" s="19" t="str">
        <f>IF(OR(J316="Krankenstand",J316="Urlaub"),"",IF(J316="","",VLOOKUP(D316,Dienste!C:W,21,)))</f>
        <v/>
      </c>
      <c r="T316" s="18" t="str">
        <f>IF(OR(J316="Krankenstand",J316="Urlaub"),"",IF(J316="","",VLOOKUP(D316,Dienste!C:W,5,)))</f>
        <v/>
      </c>
      <c r="U316" s="18" t="str">
        <f>IF(OR(J316="Krankenstand",J316="Urlaub"),"",IF(J316="","",VLOOKUP(D316,Dienste!C:W,6,)))</f>
        <v/>
      </c>
      <c r="V316" s="18" t="str">
        <f>IF(OR(J316="Krankenstand",J316="Urlaub"),"",IF(J316="","",VLOOKUP(D316,Dienste!C:W,7,)))</f>
        <v/>
      </c>
      <c r="W316" s="18" t="str">
        <f>IF(OR(J316="Krankenstand",J316="Urlaub"),"",IF(J316="","",VLOOKUP(D316,Dienste!C:W,11,)))</f>
        <v/>
      </c>
      <c r="X316" s="18" t="str">
        <f>IF(OR(J316="Krankenstand",J316="Urlaub"),"",IF(J316="","",VLOOKUP(D316,Dienste!C:W,12,)))</f>
        <v/>
      </c>
      <c r="Y316" s="19" t="str">
        <f>IF(OR(J316="Krankenstand",J316="Urlaub"),"",IF(J316="","",VLOOKUP(D316,Dienste!C:W,14,)))</f>
        <v/>
      </c>
      <c r="Z316" s="20" t="str">
        <f>IF(OR(J316="Krankenstand",J316="Urlaub"),"",IF(J316="","",VLOOKUP(D316,Dienste!C:W,15,)))</f>
        <v/>
      </c>
      <c r="AA316" s="124" t="str">
        <f t="shared" ref="AA316:AA344" si="154">IF(OR(Y316="",NOT(AB316="")),"",IF(AND(Y316&lt;AE317,AE317&gt;0),Y316,IF(AE317&gt;0,AE317,"")))</f>
        <v/>
      </c>
      <c r="AB316" s="19" t="str">
        <f t="shared" ref="AB316:AB346" si="155">IF(I316="","",Y316)</f>
        <v/>
      </c>
      <c r="AC316" s="126" t="str">
        <f>_xlfn.CONCAT(_xlfn.CONCAT(IF(I316="","",_xlfn.CONCAT("FT: ",I316,IF(J316="","","; "))),IF(B316&lt;Datenblatt!$B$9,"",IF(B316="","",IF(NOT(J316=""),SUBSTITUTE(SUBSTITUTE(SUBSTITUTE(J316," mR","")," oR","")," O",""),"")))),IF(AF316="","",_xlfn.CONCAT(CHAR(10),"; ",AF316)))</f>
        <v/>
      </c>
      <c r="AD316" s="124" t="str">
        <f>IF(SUM(Y316,R316,M316,L316)&lt;=0,"",SUM(Y316,R316,M316,L316))</f>
        <v/>
      </c>
      <c r="AE316" s="19">
        <f t="shared" ref="AE316:AE345" si="156">IF(OR(Y316="",NOT(AB316="")),AE317,AE317-Y316)</f>
        <v>0</v>
      </c>
      <c r="AF316" s="156"/>
    </row>
    <row r="317" spans="1:32" s="9" customFormat="1" ht="13">
      <c r="B317" s="6">
        <f t="shared" ref="B317:B343" si="157">B316+1</f>
        <v>44806</v>
      </c>
      <c r="C317" s="45">
        <f>SMALL(Daten!W:W,COUNTIF(Daten!W:W,"&lt;"&amp;Stundenaufzeichnung!B317+1))</f>
        <v>44578</v>
      </c>
      <c r="D317" s="45" t="str">
        <f t="shared" si="152"/>
        <v/>
      </c>
      <c r="E317" s="8">
        <f t="shared" si="153"/>
        <v>7</v>
      </c>
      <c r="F317" s="8">
        <f t="shared" ref="F317:F343" si="158">MOD(E317+$F$3,7)+1</f>
        <v>5</v>
      </c>
      <c r="G317" s="8">
        <f>IF(B317="","",VLOOKUP(E317,Datenblatt!$L$2:$N$8,3,FALSE))</f>
        <v>0</v>
      </c>
      <c r="H317" s="8" t="str">
        <f t="shared" ref="H317:H346" si="159">IF(OR(G317=1),"x",IF(I317="","","x"))</f>
        <v/>
      </c>
      <c r="I317" s="11" t="str">
        <f>IFERROR(VLOOKUP(B317,Datenblatt!$E:$F,2,FALSE),"")</f>
        <v/>
      </c>
      <c r="J317" s="113"/>
      <c r="K317" s="19">
        <f>IF(B317&lt;Datenblatt!$B$9,"",IF(B317="","",IF(G317=0,Datenblatt!$B$7,"")))</f>
        <v>6.67</v>
      </c>
      <c r="L317" s="19" t="str">
        <f t="shared" ref="L317:L346" si="160">IF(AND(J317="Krankenstand",R317=""),K317,"")</f>
        <v/>
      </c>
      <c r="M317" s="124" t="str">
        <f t="shared" ref="M317:M346" si="161">IF(AND(J317="Urlaub",R317=""),K317,"")</f>
        <v/>
      </c>
      <c r="N317" s="124" t="str">
        <f>IF(AND(L317=Datenblatt!$B$7,NOT(L316=Datenblatt!$B$7),NOT(L318=Datenblatt!$B$7)),"y",IF(AND(L317=Datenblatt!$B$7,L318=Datenblatt!$B$7,NOT(L316=Datenblatt!$B$7)),"a",IF(AND(L317=Datenblatt!$B$7,L316=Datenblatt!$B$7,NOT(L318=Datenblatt!$B$7)),"b","")))</f>
        <v/>
      </c>
      <c r="O317" s="19" t="str">
        <f t="shared" ref="O317:O346" si="162">IF(N317="a",TEXT(B317,"TT.MM.")&amp;" - ",IF(OR(N317="b",N317="y"),TEXT(B317,"TT.MM.")&amp;"; ",""))</f>
        <v/>
      </c>
      <c r="P317" s="124" t="str">
        <f>IF(AND(M317=Datenblatt!$B$7,NOT(M316=Datenblatt!$B$7),NOT(M318=Datenblatt!$B$7)),"y",IF(AND(M317=Datenblatt!$B$7,M318=Datenblatt!$B$7,NOT(M316=Datenblatt!$B$7)),"a",IF(AND(M317=Datenblatt!$B$7,M316=Datenblatt!$B$7,NOT(M318=Datenblatt!$B$7)),"b","")))</f>
        <v/>
      </c>
      <c r="Q317" s="19" t="str">
        <f t="shared" ref="Q317:Q346" si="163">IF(P317="a",TEXT(B317,"TT.MM.")&amp;" - ",IF(OR(P317="b",P317="y"),TEXT(B317,"TT.MM.")&amp;"; ",""))</f>
        <v/>
      </c>
      <c r="R317" s="124" t="str">
        <f>IF(I317="","",IF(AND(OR(J317="Krankenstand",J317="Urlaub",J317=""), AND(G317=0,NOT(I317=""))),Datenblatt!$B$7,""))</f>
        <v/>
      </c>
      <c r="S317" s="19" t="str">
        <f>IF(OR(J317="Krankenstand",J317="Urlaub"),"",IF(J317="","",VLOOKUP(D317,Dienste!C:W,21,)))</f>
        <v/>
      </c>
      <c r="T317" s="18" t="str">
        <f>IF(OR(J317="Krankenstand",J317="Urlaub"),"",IF(J317="","",VLOOKUP(D317,Dienste!C:W,5,)))</f>
        <v/>
      </c>
      <c r="U317" s="18" t="str">
        <f>IF(OR(J317="Krankenstand",J317="Urlaub"),"",IF(J317="","",VLOOKUP(D317,Dienste!C:W,6,)))</f>
        <v/>
      </c>
      <c r="V317" s="18" t="str">
        <f>IF(OR(J317="Krankenstand",J317="Urlaub"),"",IF(J317="","",VLOOKUP(D317,Dienste!C:W,7,)))</f>
        <v/>
      </c>
      <c r="W317" s="18" t="str">
        <f>IF(OR(J317="Krankenstand",J317="Urlaub"),"",IF(J317="","",VLOOKUP(D317,Dienste!C:W,11,)))</f>
        <v/>
      </c>
      <c r="X317" s="18" t="str">
        <f>IF(OR(J317="Krankenstand",J317="Urlaub"),"",IF(J317="","",VLOOKUP(D317,Dienste!C:W,12,)))</f>
        <v/>
      </c>
      <c r="Y317" s="19" t="str">
        <f>IF(OR(J317="Krankenstand",J317="Urlaub"),"",IF(J317="","",VLOOKUP(D317,Dienste!C:W,14,)))</f>
        <v/>
      </c>
      <c r="Z317" s="20" t="str">
        <f>IF(OR(J317="Krankenstand",J317="Urlaub"),"",IF(J317="","",VLOOKUP(D317,Dienste!C:W,15,)))</f>
        <v/>
      </c>
      <c r="AA317" s="124" t="str">
        <f t="shared" si="154"/>
        <v/>
      </c>
      <c r="AB317" s="19" t="str">
        <f t="shared" si="155"/>
        <v/>
      </c>
      <c r="AC317" s="126" t="str">
        <f>_xlfn.CONCAT(_xlfn.CONCAT(IF(I317="","",_xlfn.CONCAT("FT: ",I317,IF(J317="","","; "))),IF(B317&lt;Datenblatt!$B$9,"",IF(B317="","",IF(NOT(J317=""),SUBSTITUTE(SUBSTITUTE(SUBSTITUTE(J317," mR","")," oR","")," O",""),"")))),IF(AF317="","",_xlfn.CONCAT(CHAR(10),"; ",AF317)))</f>
        <v/>
      </c>
      <c r="AD317" s="124" t="str">
        <f t="shared" ref="AD317:AD346" si="164">IF(SUM(Y317,R317,M317,L317)&lt;=0,"",SUM(Y317,R317,M317,L317))</f>
        <v/>
      </c>
      <c r="AE317" s="19">
        <f t="shared" si="156"/>
        <v>0</v>
      </c>
      <c r="AF317" s="156"/>
    </row>
    <row r="318" spans="1:32" s="9" customFormat="1" ht="13">
      <c r="B318" s="6">
        <f t="shared" si="157"/>
        <v>44807</v>
      </c>
      <c r="C318" s="45">
        <f>SMALL(Daten!W:W,COUNTIF(Daten!W:W,"&lt;"&amp;Stundenaufzeichnung!B318+1))</f>
        <v>44578</v>
      </c>
      <c r="D318" s="45" t="str">
        <f t="shared" si="152"/>
        <v/>
      </c>
      <c r="E318" s="8">
        <f t="shared" si="153"/>
        <v>1</v>
      </c>
      <c r="F318" s="8">
        <f t="shared" si="158"/>
        <v>6</v>
      </c>
      <c r="G318" s="8">
        <f>IF(B318="","",VLOOKUP(E318,Datenblatt!$L$2:$N$8,3,FALSE))</f>
        <v>0</v>
      </c>
      <c r="H318" s="8" t="str">
        <f t="shared" si="159"/>
        <v/>
      </c>
      <c r="I318" s="11" t="str">
        <f>IFERROR(VLOOKUP(B318,Datenblatt!$E:$F,2,FALSE),"")</f>
        <v/>
      </c>
      <c r="J318" s="113"/>
      <c r="K318" s="19">
        <f>IF(B318&lt;Datenblatt!$B$9,"",IF(B318="","",IF(G318=0,Datenblatt!$B$7,"")))</f>
        <v>6.67</v>
      </c>
      <c r="L318" s="19" t="str">
        <f t="shared" si="160"/>
        <v/>
      </c>
      <c r="M318" s="124" t="str">
        <f t="shared" si="161"/>
        <v/>
      </c>
      <c r="N318" s="124" t="str">
        <f>IF(AND(L318=Datenblatt!$B$7,NOT(L317=Datenblatt!$B$7),NOT(L319=Datenblatt!$B$7)),"y",IF(AND(L318=Datenblatt!$B$7,L319=Datenblatt!$B$7,NOT(L317=Datenblatt!$B$7)),"a",IF(AND(L318=Datenblatt!$B$7,L317=Datenblatt!$B$7,NOT(L319=Datenblatt!$B$7)),"b","")))</f>
        <v/>
      </c>
      <c r="O318" s="19" t="str">
        <f t="shared" si="162"/>
        <v/>
      </c>
      <c r="P318" s="124" t="str">
        <f>IF(AND(M318=Datenblatt!$B$7,NOT(M317=Datenblatt!$B$7),NOT(M319=Datenblatt!$B$7)),"y",IF(AND(M318=Datenblatt!$B$7,M319=Datenblatt!$B$7,NOT(M317=Datenblatt!$B$7)),"a",IF(AND(M318=Datenblatt!$B$7,M317=Datenblatt!$B$7,NOT(M319=Datenblatt!$B$7)),"b","")))</f>
        <v/>
      </c>
      <c r="Q318" s="19" t="str">
        <f t="shared" si="163"/>
        <v/>
      </c>
      <c r="R318" s="124" t="str">
        <f>IF(I318="","",IF(AND(OR(J318="Krankenstand",J318="Urlaub",J318=""), AND(G318=0,NOT(I318=""))),Datenblatt!$B$7,""))</f>
        <v/>
      </c>
      <c r="S318" s="19" t="str">
        <f>IF(OR(J318="Krankenstand",J318="Urlaub"),"",IF(J318="","",VLOOKUP(D318,Dienste!C:W,21,)))</f>
        <v/>
      </c>
      <c r="T318" s="18" t="str">
        <f>IF(OR(J318="Krankenstand",J318="Urlaub"),"",IF(J318="","",VLOOKUP(D318,Dienste!C:W,5,)))</f>
        <v/>
      </c>
      <c r="U318" s="18" t="str">
        <f>IF(OR(J318="Krankenstand",J318="Urlaub"),"",IF(J318="","",VLOOKUP(D318,Dienste!C:W,6,)))</f>
        <v/>
      </c>
      <c r="V318" s="18" t="str">
        <f>IF(OR(J318="Krankenstand",J318="Urlaub"),"",IF(J318="","",VLOOKUP(D318,Dienste!C:W,7,)))</f>
        <v/>
      </c>
      <c r="W318" s="18" t="str">
        <f>IF(OR(J318="Krankenstand",J318="Urlaub"),"",IF(J318="","",VLOOKUP(D318,Dienste!C:W,11,)))</f>
        <v/>
      </c>
      <c r="X318" s="18" t="str">
        <f>IF(OR(J318="Krankenstand",J318="Urlaub"),"",IF(J318="","",VLOOKUP(D318,Dienste!C:W,12,)))</f>
        <v/>
      </c>
      <c r="Y318" s="19" t="str">
        <f>IF(OR(J318="Krankenstand",J318="Urlaub"),"",IF(J318="","",VLOOKUP(D318,Dienste!C:W,14,)))</f>
        <v/>
      </c>
      <c r="Z318" s="20" t="str">
        <f>IF(OR(J318="Krankenstand",J318="Urlaub"),"",IF(J318="","",VLOOKUP(D318,Dienste!C:W,15,)))</f>
        <v/>
      </c>
      <c r="AA318" s="124" t="str">
        <f t="shared" si="154"/>
        <v/>
      </c>
      <c r="AB318" s="19" t="str">
        <f t="shared" si="155"/>
        <v/>
      </c>
      <c r="AC318" s="126" t="str">
        <f>_xlfn.CONCAT(_xlfn.CONCAT(IF(I318="","",_xlfn.CONCAT("FT: ",I318,IF(J318="","","; "))),IF(B318&lt;Datenblatt!$B$9,"",IF(B318="","",IF(NOT(J318=""),SUBSTITUTE(SUBSTITUTE(SUBSTITUTE(J318," mR","")," oR","")," O",""),"")))),IF(AF318="","",_xlfn.CONCAT(CHAR(10),"; ",AF318)))</f>
        <v/>
      </c>
      <c r="AD318" s="124" t="str">
        <f t="shared" si="164"/>
        <v/>
      </c>
      <c r="AE318" s="19">
        <f t="shared" si="156"/>
        <v>0</v>
      </c>
      <c r="AF318" s="156"/>
    </row>
    <row r="319" spans="1:32" s="9" customFormat="1" ht="13">
      <c r="B319" s="6">
        <f t="shared" si="157"/>
        <v>44808</v>
      </c>
      <c r="C319" s="45">
        <f>SMALL(Daten!W:W,COUNTIF(Daten!W:W,"&lt;"&amp;Stundenaufzeichnung!B319+1))</f>
        <v>44578</v>
      </c>
      <c r="D319" s="45" t="str">
        <f t="shared" si="152"/>
        <v/>
      </c>
      <c r="E319" s="8">
        <f t="shared" si="153"/>
        <v>2</v>
      </c>
      <c r="F319" s="8">
        <f t="shared" si="158"/>
        <v>7</v>
      </c>
      <c r="G319" s="8">
        <f>IF(B319="","",VLOOKUP(E319,Datenblatt!$L$2:$N$8,3,FALSE))</f>
        <v>1</v>
      </c>
      <c r="H319" s="8" t="str">
        <f t="shared" si="159"/>
        <v>x</v>
      </c>
      <c r="I319" s="11" t="str">
        <f>IFERROR(VLOOKUP(B319,Datenblatt!$E:$F,2,FALSE),"")</f>
        <v/>
      </c>
      <c r="J319" s="113"/>
      <c r="K319" s="19" t="str">
        <f>IF(B319&lt;Datenblatt!$B$9,"",IF(B319="","",IF(G319=0,Datenblatt!$B$7,"")))</f>
        <v/>
      </c>
      <c r="L319" s="19" t="str">
        <f t="shared" si="160"/>
        <v/>
      </c>
      <c r="M319" s="124" t="str">
        <f t="shared" si="161"/>
        <v/>
      </c>
      <c r="N319" s="124" t="str">
        <f>IF(AND(L319=Datenblatt!$B$7,NOT(L318=Datenblatt!$B$7),NOT(L320=Datenblatt!$B$7)),"y",IF(AND(L319=Datenblatt!$B$7,L320=Datenblatt!$B$7,NOT(L318=Datenblatt!$B$7)),"a",IF(AND(L319=Datenblatt!$B$7,L318=Datenblatt!$B$7,NOT(L320=Datenblatt!$B$7)),"b","")))</f>
        <v/>
      </c>
      <c r="O319" s="19" t="str">
        <f t="shared" si="162"/>
        <v/>
      </c>
      <c r="P319" s="124" t="str">
        <f>IF(AND(M319=Datenblatt!$B$7,NOT(M318=Datenblatt!$B$7),NOT(M320=Datenblatt!$B$7)),"y",IF(AND(M319=Datenblatt!$B$7,M320=Datenblatt!$B$7,NOT(M318=Datenblatt!$B$7)),"a",IF(AND(M319=Datenblatt!$B$7,M318=Datenblatt!$B$7,NOT(M320=Datenblatt!$B$7)),"b","")))</f>
        <v/>
      </c>
      <c r="Q319" s="19" t="str">
        <f t="shared" si="163"/>
        <v/>
      </c>
      <c r="R319" s="124" t="str">
        <f>IF(I319="","",IF(AND(OR(J319="Krankenstand",J319="Urlaub",J319=""), AND(G319=0,NOT(I319=""))),Datenblatt!$B$7,""))</f>
        <v/>
      </c>
      <c r="S319" s="19" t="str">
        <f>IF(OR(J319="Krankenstand",J319="Urlaub"),"",IF(J319="","",VLOOKUP(D319,Dienste!C:W,21,)))</f>
        <v/>
      </c>
      <c r="T319" s="18" t="str">
        <f>IF(OR(J319="Krankenstand",J319="Urlaub"),"",IF(J319="","",VLOOKUP(D319,Dienste!C:W,5,)))</f>
        <v/>
      </c>
      <c r="U319" s="18" t="str">
        <f>IF(OR(J319="Krankenstand",J319="Urlaub"),"",IF(J319="","",VLOOKUP(D319,Dienste!C:W,6,)))</f>
        <v/>
      </c>
      <c r="V319" s="18" t="str">
        <f>IF(OR(J319="Krankenstand",J319="Urlaub"),"",IF(J319="","",VLOOKUP(D319,Dienste!C:W,7,)))</f>
        <v/>
      </c>
      <c r="W319" s="18" t="str">
        <f>IF(OR(J319="Krankenstand",J319="Urlaub"),"",IF(J319="","",VLOOKUP(D319,Dienste!C:W,11,)))</f>
        <v/>
      </c>
      <c r="X319" s="18" t="str">
        <f>IF(OR(J319="Krankenstand",J319="Urlaub"),"",IF(J319="","",VLOOKUP(D319,Dienste!C:W,12,)))</f>
        <v/>
      </c>
      <c r="Y319" s="19" t="str">
        <f>IF(OR(J319="Krankenstand",J319="Urlaub"),"",IF(J319="","",VLOOKUP(D319,Dienste!C:W,14,)))</f>
        <v/>
      </c>
      <c r="Z319" s="20" t="str">
        <f>IF(OR(J319="Krankenstand",J319="Urlaub"),"",IF(J319="","",VLOOKUP(D319,Dienste!C:W,15,)))</f>
        <v/>
      </c>
      <c r="AA319" s="124" t="str">
        <f t="shared" si="154"/>
        <v/>
      </c>
      <c r="AB319" s="19" t="str">
        <f t="shared" si="155"/>
        <v/>
      </c>
      <c r="AC319" s="126" t="str">
        <f>_xlfn.CONCAT(_xlfn.CONCAT(IF(I319="","",_xlfn.CONCAT("FT: ",I319,IF(J319="","","; "))),IF(B319&lt;Datenblatt!$B$9,"",IF(B319="","",IF(NOT(J319=""),SUBSTITUTE(SUBSTITUTE(SUBSTITUTE(J319," mR","")," oR","")," O",""),"")))),IF(AF319="","",_xlfn.CONCAT(CHAR(10),"; ",AF319)))</f>
        <v/>
      </c>
      <c r="AD319" s="124" t="str">
        <f t="shared" si="164"/>
        <v/>
      </c>
      <c r="AE319" s="19">
        <f t="shared" si="156"/>
        <v>0</v>
      </c>
      <c r="AF319" s="156"/>
    </row>
    <row r="320" spans="1:32" s="9" customFormat="1" ht="13">
      <c r="B320" s="6">
        <f t="shared" si="157"/>
        <v>44809</v>
      </c>
      <c r="C320" s="45">
        <f>SMALL(Daten!W:W,COUNTIF(Daten!W:W,"&lt;"&amp;Stundenaufzeichnung!B320+1))</f>
        <v>44578</v>
      </c>
      <c r="D320" s="45" t="str">
        <f t="shared" si="152"/>
        <v/>
      </c>
      <c r="E320" s="8">
        <f t="shared" si="153"/>
        <v>3</v>
      </c>
      <c r="F320" s="8">
        <f t="shared" si="158"/>
        <v>1</v>
      </c>
      <c r="G320" s="8">
        <f>IF(B320="","",VLOOKUP(E320,Datenblatt!$L$2:$N$8,3,FALSE))</f>
        <v>0</v>
      </c>
      <c r="H320" s="8" t="str">
        <f t="shared" si="159"/>
        <v/>
      </c>
      <c r="I320" s="11" t="str">
        <f>IFERROR(VLOOKUP(B320,Datenblatt!$E:$F,2,FALSE),"")</f>
        <v/>
      </c>
      <c r="J320" s="113"/>
      <c r="K320" s="19">
        <f>IF(B320&lt;Datenblatt!$B$9,"",IF(B320="","",IF(G320=0,Datenblatt!$B$7,"")))</f>
        <v>6.67</v>
      </c>
      <c r="L320" s="19" t="str">
        <f t="shared" si="160"/>
        <v/>
      </c>
      <c r="M320" s="124" t="str">
        <f t="shared" si="161"/>
        <v/>
      </c>
      <c r="N320" s="124" t="str">
        <f>IF(AND(L320=Datenblatt!$B$7,NOT(L319=Datenblatt!$B$7),NOT(L321=Datenblatt!$B$7)),"y",IF(AND(L320=Datenblatt!$B$7,L321=Datenblatt!$B$7,NOT(L319=Datenblatt!$B$7)),"a",IF(AND(L320=Datenblatt!$B$7,L319=Datenblatt!$B$7,NOT(L321=Datenblatt!$B$7)),"b","")))</f>
        <v/>
      </c>
      <c r="O320" s="19" t="str">
        <f t="shared" si="162"/>
        <v/>
      </c>
      <c r="P320" s="124" t="str">
        <f>IF(AND(M320=Datenblatt!$B$7,NOT(M319=Datenblatt!$B$7),NOT(M321=Datenblatt!$B$7)),"y",IF(AND(M320=Datenblatt!$B$7,M321=Datenblatt!$B$7,NOT(M319=Datenblatt!$B$7)),"a",IF(AND(M320=Datenblatt!$B$7,M319=Datenblatt!$B$7,NOT(M321=Datenblatt!$B$7)),"b","")))</f>
        <v/>
      </c>
      <c r="Q320" s="19" t="str">
        <f t="shared" si="163"/>
        <v/>
      </c>
      <c r="R320" s="124" t="str">
        <f>IF(I320="","",IF(AND(OR(J320="Krankenstand",J320="Urlaub",J320=""), AND(G320=0,NOT(I320=""))),Datenblatt!$B$7,""))</f>
        <v/>
      </c>
      <c r="S320" s="19" t="str">
        <f>IF(OR(J320="Krankenstand",J320="Urlaub"),"",IF(J320="","",VLOOKUP(D320,Dienste!C:W,21,)))</f>
        <v/>
      </c>
      <c r="T320" s="18" t="str">
        <f>IF(OR(J320="Krankenstand",J320="Urlaub"),"",IF(J320="","",VLOOKUP(D320,Dienste!C:W,5,)))</f>
        <v/>
      </c>
      <c r="U320" s="18" t="str">
        <f>IF(OR(J320="Krankenstand",J320="Urlaub"),"",IF(J320="","",VLOOKUP(D320,Dienste!C:W,6,)))</f>
        <v/>
      </c>
      <c r="V320" s="18" t="str">
        <f>IF(OR(J320="Krankenstand",J320="Urlaub"),"",IF(J320="","",VLOOKUP(D320,Dienste!C:W,7,)))</f>
        <v/>
      </c>
      <c r="W320" s="18" t="str">
        <f>IF(OR(J320="Krankenstand",J320="Urlaub"),"",IF(J320="","",VLOOKUP(D320,Dienste!C:W,11,)))</f>
        <v/>
      </c>
      <c r="X320" s="18" t="str">
        <f>IF(OR(J320="Krankenstand",J320="Urlaub"),"",IF(J320="","",VLOOKUP(D320,Dienste!C:W,12,)))</f>
        <v/>
      </c>
      <c r="Y320" s="19" t="str">
        <f>IF(OR(J320="Krankenstand",J320="Urlaub"),"",IF(J320="","",VLOOKUP(D320,Dienste!C:W,14,)))</f>
        <v/>
      </c>
      <c r="Z320" s="20" t="str">
        <f>IF(OR(J320="Krankenstand",J320="Urlaub"),"",IF(J320="","",VLOOKUP(D320,Dienste!C:W,15,)))</f>
        <v/>
      </c>
      <c r="AA320" s="124" t="str">
        <f t="shared" si="154"/>
        <v/>
      </c>
      <c r="AB320" s="19" t="str">
        <f t="shared" si="155"/>
        <v/>
      </c>
      <c r="AC320" s="126" t="str">
        <f>_xlfn.CONCAT(_xlfn.CONCAT(IF(I320="","",_xlfn.CONCAT("FT: ",I320,IF(J320="","","; "))),IF(B320&lt;Datenblatt!$B$9,"",IF(B320="","",IF(NOT(J320=""),SUBSTITUTE(SUBSTITUTE(SUBSTITUTE(J320," mR","")," oR","")," O",""),"")))),IF(AF320="","",_xlfn.CONCAT(CHAR(10),"; ",AF320)))</f>
        <v/>
      </c>
      <c r="AD320" s="124" t="str">
        <f t="shared" si="164"/>
        <v/>
      </c>
      <c r="AE320" s="19">
        <f t="shared" si="156"/>
        <v>0</v>
      </c>
      <c r="AF320" s="156"/>
    </row>
    <row r="321" spans="2:32" s="9" customFormat="1" ht="13">
      <c r="B321" s="6">
        <f t="shared" si="157"/>
        <v>44810</v>
      </c>
      <c r="C321" s="45">
        <f>SMALL(Daten!W:W,COUNTIF(Daten!W:W,"&lt;"&amp;Stundenaufzeichnung!B321+1))</f>
        <v>44578</v>
      </c>
      <c r="D321" s="45" t="str">
        <f t="shared" si="152"/>
        <v/>
      </c>
      <c r="E321" s="8">
        <f t="shared" si="153"/>
        <v>4</v>
      </c>
      <c r="F321" s="8">
        <f t="shared" si="158"/>
        <v>2</v>
      </c>
      <c r="G321" s="8">
        <f>IF(B321="","",VLOOKUP(E321,Datenblatt!$L$2:$N$8,3,FALSE))</f>
        <v>0</v>
      </c>
      <c r="H321" s="8" t="str">
        <f t="shared" si="159"/>
        <v/>
      </c>
      <c r="I321" s="11" t="str">
        <f>IFERROR(VLOOKUP(B321,Datenblatt!$E:$F,2,FALSE),"")</f>
        <v/>
      </c>
      <c r="J321" s="113"/>
      <c r="K321" s="19">
        <f>IF(B321&lt;Datenblatt!$B$9,"",IF(B321="","",IF(G321=0,Datenblatt!$B$7,"")))</f>
        <v>6.67</v>
      </c>
      <c r="L321" s="19" t="str">
        <f t="shared" si="160"/>
        <v/>
      </c>
      <c r="M321" s="124" t="str">
        <f t="shared" si="161"/>
        <v/>
      </c>
      <c r="N321" s="124" t="str">
        <f>IF(AND(L321=Datenblatt!$B$7,NOT(L320=Datenblatt!$B$7),NOT(L322=Datenblatt!$B$7)),"y",IF(AND(L321=Datenblatt!$B$7,L322=Datenblatt!$B$7,NOT(L320=Datenblatt!$B$7)),"a",IF(AND(L321=Datenblatt!$B$7,L320=Datenblatt!$B$7,NOT(L322=Datenblatt!$B$7)),"b","")))</f>
        <v/>
      </c>
      <c r="O321" s="19" t="str">
        <f t="shared" si="162"/>
        <v/>
      </c>
      <c r="P321" s="124" t="str">
        <f>IF(AND(M321=Datenblatt!$B$7,NOT(M320=Datenblatt!$B$7),NOT(M322=Datenblatt!$B$7)),"y",IF(AND(M321=Datenblatt!$B$7,M322=Datenblatt!$B$7,NOT(M320=Datenblatt!$B$7)),"a",IF(AND(M321=Datenblatt!$B$7,M320=Datenblatt!$B$7,NOT(M322=Datenblatt!$B$7)),"b","")))</f>
        <v/>
      </c>
      <c r="Q321" s="19" t="str">
        <f t="shared" si="163"/>
        <v/>
      </c>
      <c r="R321" s="124" t="str">
        <f>IF(I321="","",IF(AND(OR(J321="Krankenstand",J321="Urlaub",J321=""), AND(G321=0,NOT(I321=""))),Datenblatt!$B$7,""))</f>
        <v/>
      </c>
      <c r="S321" s="19" t="str">
        <f>IF(OR(J321="Krankenstand",J321="Urlaub"),"",IF(J321="","",VLOOKUP(D321,Dienste!C:W,21,)))</f>
        <v/>
      </c>
      <c r="T321" s="18" t="str">
        <f>IF(OR(J321="Krankenstand",J321="Urlaub"),"",IF(J321="","",VLOOKUP(D321,Dienste!C:W,5,)))</f>
        <v/>
      </c>
      <c r="U321" s="18" t="str">
        <f>IF(OR(J321="Krankenstand",J321="Urlaub"),"",IF(J321="","",VLOOKUP(D321,Dienste!C:W,6,)))</f>
        <v/>
      </c>
      <c r="V321" s="18" t="str">
        <f>IF(OR(J321="Krankenstand",J321="Urlaub"),"",IF(J321="","",VLOOKUP(D321,Dienste!C:W,7,)))</f>
        <v/>
      </c>
      <c r="W321" s="18" t="str">
        <f>IF(OR(J321="Krankenstand",J321="Urlaub"),"",IF(J321="","",VLOOKUP(D321,Dienste!C:W,11,)))</f>
        <v/>
      </c>
      <c r="X321" s="18" t="str">
        <f>IF(OR(J321="Krankenstand",J321="Urlaub"),"",IF(J321="","",VLOOKUP(D321,Dienste!C:W,12,)))</f>
        <v/>
      </c>
      <c r="Y321" s="19" t="str">
        <f>IF(OR(J321="Krankenstand",J321="Urlaub"),"",IF(J321="","",VLOOKUP(D321,Dienste!C:W,14,)))</f>
        <v/>
      </c>
      <c r="Z321" s="20" t="str">
        <f>IF(OR(J321="Krankenstand",J321="Urlaub"),"",IF(J321="","",VLOOKUP(D321,Dienste!C:W,15,)))</f>
        <v/>
      </c>
      <c r="AA321" s="124" t="str">
        <f t="shared" si="154"/>
        <v/>
      </c>
      <c r="AB321" s="19" t="str">
        <f t="shared" si="155"/>
        <v/>
      </c>
      <c r="AC321" s="126" t="str">
        <f>_xlfn.CONCAT(_xlfn.CONCAT(IF(I321="","",_xlfn.CONCAT("FT: ",I321,IF(J321="","","; "))),IF(B321&lt;Datenblatt!$B$9,"",IF(B321="","",IF(NOT(J321=""),SUBSTITUTE(SUBSTITUTE(SUBSTITUTE(J321," mR","")," oR","")," O",""),"")))),IF(AF321="","",_xlfn.CONCAT(CHAR(10),"; ",AF321)))</f>
        <v/>
      </c>
      <c r="AD321" s="124" t="str">
        <f t="shared" si="164"/>
        <v/>
      </c>
      <c r="AE321" s="19">
        <f t="shared" si="156"/>
        <v>0</v>
      </c>
      <c r="AF321" s="156"/>
    </row>
    <row r="322" spans="2:32" s="9" customFormat="1" ht="13">
      <c r="B322" s="6">
        <f t="shared" si="157"/>
        <v>44811</v>
      </c>
      <c r="C322" s="45">
        <f>SMALL(Daten!W:W,COUNTIF(Daten!W:W,"&lt;"&amp;Stundenaufzeichnung!B322+1))</f>
        <v>44578</v>
      </c>
      <c r="D322" s="45" t="str">
        <f t="shared" si="152"/>
        <v/>
      </c>
      <c r="E322" s="8">
        <f t="shared" si="153"/>
        <v>5</v>
      </c>
      <c r="F322" s="8">
        <f t="shared" si="158"/>
        <v>3</v>
      </c>
      <c r="G322" s="8">
        <f>IF(B322="","",VLOOKUP(E322,Datenblatt!$L$2:$N$8,3,FALSE))</f>
        <v>0</v>
      </c>
      <c r="H322" s="8" t="str">
        <f t="shared" si="159"/>
        <v/>
      </c>
      <c r="I322" s="11" t="str">
        <f>IFERROR(VLOOKUP(B322,Datenblatt!$E:$F,2,FALSE),"")</f>
        <v/>
      </c>
      <c r="J322" s="113"/>
      <c r="K322" s="19">
        <f>IF(B322&lt;Datenblatt!$B$9,"",IF(B322="","",IF(G322=0,Datenblatt!$B$7,"")))</f>
        <v>6.67</v>
      </c>
      <c r="L322" s="19" t="str">
        <f t="shared" si="160"/>
        <v/>
      </c>
      <c r="M322" s="124" t="str">
        <f t="shared" si="161"/>
        <v/>
      </c>
      <c r="N322" s="124" t="str">
        <f>IF(AND(L322=Datenblatt!$B$7,NOT(L321=Datenblatt!$B$7),NOT(L323=Datenblatt!$B$7)),"y",IF(AND(L322=Datenblatt!$B$7,L323=Datenblatt!$B$7,NOT(L321=Datenblatt!$B$7)),"a",IF(AND(L322=Datenblatt!$B$7,L321=Datenblatt!$B$7,NOT(L323=Datenblatt!$B$7)),"b","")))</f>
        <v/>
      </c>
      <c r="O322" s="19" t="str">
        <f t="shared" si="162"/>
        <v/>
      </c>
      <c r="P322" s="124" t="str">
        <f>IF(AND(M322=Datenblatt!$B$7,NOT(M321=Datenblatt!$B$7),NOT(M323=Datenblatt!$B$7)),"y",IF(AND(M322=Datenblatt!$B$7,M323=Datenblatt!$B$7,NOT(M321=Datenblatt!$B$7)),"a",IF(AND(M322=Datenblatt!$B$7,M321=Datenblatt!$B$7,NOT(M323=Datenblatt!$B$7)),"b","")))</f>
        <v/>
      </c>
      <c r="Q322" s="19" t="str">
        <f t="shared" si="163"/>
        <v/>
      </c>
      <c r="R322" s="124" t="str">
        <f>IF(I322="","",IF(AND(OR(J322="Krankenstand",J322="Urlaub",J322=""), AND(G322=0,NOT(I322=""))),Datenblatt!$B$7,""))</f>
        <v/>
      </c>
      <c r="S322" s="19" t="str">
        <f>IF(OR(J322="Krankenstand",J322="Urlaub"),"",IF(J322="","",VLOOKUP(D322,Dienste!C:W,21,)))</f>
        <v/>
      </c>
      <c r="T322" s="18" t="str">
        <f>IF(OR(J322="Krankenstand",J322="Urlaub"),"",IF(J322="","",VLOOKUP(D322,Dienste!C:W,5,)))</f>
        <v/>
      </c>
      <c r="U322" s="18" t="str">
        <f>IF(OR(J322="Krankenstand",J322="Urlaub"),"",IF(J322="","",VLOOKUP(D322,Dienste!C:W,6,)))</f>
        <v/>
      </c>
      <c r="V322" s="18" t="str">
        <f>IF(OR(J322="Krankenstand",J322="Urlaub"),"",IF(J322="","",VLOOKUP(D322,Dienste!C:W,7,)))</f>
        <v/>
      </c>
      <c r="W322" s="18" t="str">
        <f>IF(OR(J322="Krankenstand",J322="Urlaub"),"",IF(J322="","",VLOOKUP(D322,Dienste!C:W,11,)))</f>
        <v/>
      </c>
      <c r="X322" s="18" t="str">
        <f>IF(OR(J322="Krankenstand",J322="Urlaub"),"",IF(J322="","",VLOOKUP(D322,Dienste!C:W,12,)))</f>
        <v/>
      </c>
      <c r="Y322" s="19" t="str">
        <f>IF(OR(J322="Krankenstand",J322="Urlaub"),"",IF(J322="","",VLOOKUP(D322,Dienste!C:W,14,)))</f>
        <v/>
      </c>
      <c r="Z322" s="20" t="str">
        <f>IF(OR(J322="Krankenstand",J322="Urlaub"),"",IF(J322="","",VLOOKUP(D322,Dienste!C:W,15,)))</f>
        <v/>
      </c>
      <c r="AA322" s="124" t="str">
        <f t="shared" si="154"/>
        <v/>
      </c>
      <c r="AB322" s="19" t="str">
        <f t="shared" si="155"/>
        <v/>
      </c>
      <c r="AC322" s="126" t="str">
        <f>_xlfn.CONCAT(_xlfn.CONCAT(IF(I322="","",_xlfn.CONCAT("FT: ",I322,IF(J322="","","; "))),IF(B322&lt;Datenblatt!$B$9,"",IF(B322="","",IF(NOT(J322=""),SUBSTITUTE(SUBSTITUTE(SUBSTITUTE(J322," mR","")," oR","")," O",""),"")))),IF(AF322="","",_xlfn.CONCAT(CHAR(10),"; ",AF322)))</f>
        <v/>
      </c>
      <c r="AD322" s="124" t="str">
        <f t="shared" si="164"/>
        <v/>
      </c>
      <c r="AE322" s="19">
        <f t="shared" si="156"/>
        <v>0</v>
      </c>
      <c r="AF322" s="156"/>
    </row>
    <row r="323" spans="2:32" s="9" customFormat="1" ht="13">
      <c r="B323" s="6">
        <f t="shared" si="157"/>
        <v>44812</v>
      </c>
      <c r="C323" s="45">
        <f>SMALL(Daten!W:W,COUNTIF(Daten!W:W,"&lt;"&amp;Stundenaufzeichnung!B323+1))</f>
        <v>44578</v>
      </c>
      <c r="D323" s="45" t="str">
        <f t="shared" si="152"/>
        <v/>
      </c>
      <c r="E323" s="8">
        <f t="shared" si="153"/>
        <v>6</v>
      </c>
      <c r="F323" s="8">
        <f t="shared" si="158"/>
        <v>4</v>
      </c>
      <c r="G323" s="8">
        <f>IF(B323="","",VLOOKUP(E323,Datenblatt!$L$2:$N$8,3,FALSE))</f>
        <v>0</v>
      </c>
      <c r="H323" s="8" t="str">
        <f t="shared" si="159"/>
        <v/>
      </c>
      <c r="I323" s="11" t="str">
        <f>IFERROR(VLOOKUP(B323,Datenblatt!$E:$F,2,FALSE),"")</f>
        <v/>
      </c>
      <c r="J323" s="113"/>
      <c r="K323" s="19">
        <f>IF(B323&lt;Datenblatt!$B$9,"",IF(B323="","",IF(G323=0,Datenblatt!$B$7,"")))</f>
        <v>6.67</v>
      </c>
      <c r="L323" s="19" t="str">
        <f t="shared" si="160"/>
        <v/>
      </c>
      <c r="M323" s="124" t="str">
        <f t="shared" si="161"/>
        <v/>
      </c>
      <c r="N323" s="124" t="str">
        <f>IF(AND(L323=Datenblatt!$B$7,NOT(L322=Datenblatt!$B$7),NOT(L324=Datenblatt!$B$7)),"y",IF(AND(L323=Datenblatt!$B$7,L324=Datenblatt!$B$7,NOT(L322=Datenblatt!$B$7)),"a",IF(AND(L323=Datenblatt!$B$7,L322=Datenblatt!$B$7,NOT(L324=Datenblatt!$B$7)),"b","")))</f>
        <v/>
      </c>
      <c r="O323" s="19" t="str">
        <f t="shared" si="162"/>
        <v/>
      </c>
      <c r="P323" s="124" t="str">
        <f>IF(AND(M323=Datenblatt!$B$7,NOT(M322=Datenblatt!$B$7),NOT(M324=Datenblatt!$B$7)),"y",IF(AND(M323=Datenblatt!$B$7,M324=Datenblatt!$B$7,NOT(M322=Datenblatt!$B$7)),"a",IF(AND(M323=Datenblatt!$B$7,M322=Datenblatt!$B$7,NOT(M324=Datenblatt!$B$7)),"b","")))</f>
        <v/>
      </c>
      <c r="Q323" s="19" t="str">
        <f t="shared" si="163"/>
        <v/>
      </c>
      <c r="R323" s="124" t="str">
        <f>IF(I323="","",IF(AND(OR(J323="Krankenstand",J323="Urlaub",J323=""), AND(G323=0,NOT(I323=""))),Datenblatt!$B$7,""))</f>
        <v/>
      </c>
      <c r="S323" s="19" t="str">
        <f>IF(OR(J323="Krankenstand",J323="Urlaub"),"",IF(J323="","",VLOOKUP(D323,Dienste!C:W,21,)))</f>
        <v/>
      </c>
      <c r="T323" s="18" t="str">
        <f>IF(OR(J323="Krankenstand",J323="Urlaub"),"",IF(J323="","",VLOOKUP(D323,Dienste!C:W,5,)))</f>
        <v/>
      </c>
      <c r="U323" s="18" t="str">
        <f>IF(OR(J323="Krankenstand",J323="Urlaub"),"",IF(J323="","",VLOOKUP(D323,Dienste!C:W,6,)))</f>
        <v/>
      </c>
      <c r="V323" s="18" t="str">
        <f>IF(OR(J323="Krankenstand",J323="Urlaub"),"",IF(J323="","",VLOOKUP(D323,Dienste!C:W,7,)))</f>
        <v/>
      </c>
      <c r="W323" s="18" t="str">
        <f>IF(OR(J323="Krankenstand",J323="Urlaub"),"",IF(J323="","",VLOOKUP(D323,Dienste!C:W,11,)))</f>
        <v/>
      </c>
      <c r="X323" s="18" t="str">
        <f>IF(OR(J323="Krankenstand",J323="Urlaub"),"",IF(J323="","",VLOOKUP(D323,Dienste!C:W,12,)))</f>
        <v/>
      </c>
      <c r="Y323" s="19" t="str">
        <f>IF(OR(J323="Krankenstand",J323="Urlaub"),"",IF(J323="","",VLOOKUP(D323,Dienste!C:W,14,)))</f>
        <v/>
      </c>
      <c r="Z323" s="20" t="str">
        <f>IF(OR(J323="Krankenstand",J323="Urlaub"),"",IF(J323="","",VLOOKUP(D323,Dienste!C:W,15,)))</f>
        <v/>
      </c>
      <c r="AA323" s="124" t="str">
        <f t="shared" si="154"/>
        <v/>
      </c>
      <c r="AB323" s="19" t="str">
        <f t="shared" si="155"/>
        <v/>
      </c>
      <c r="AC323" s="126" t="str">
        <f>_xlfn.CONCAT(_xlfn.CONCAT(IF(I323="","",_xlfn.CONCAT("FT: ",I323,IF(J323="","","; "))),IF(B323&lt;Datenblatt!$B$9,"",IF(B323="","",IF(NOT(J323=""),SUBSTITUTE(SUBSTITUTE(SUBSTITUTE(J323," mR","")," oR","")," O",""),"")))),IF(AF323="","",_xlfn.CONCAT(CHAR(10),"; ",AF323)))</f>
        <v/>
      </c>
      <c r="AD323" s="124" t="str">
        <f t="shared" si="164"/>
        <v/>
      </c>
      <c r="AE323" s="19">
        <f t="shared" si="156"/>
        <v>0</v>
      </c>
      <c r="AF323" s="156"/>
    </row>
    <row r="324" spans="2:32" s="9" customFormat="1" ht="13">
      <c r="B324" s="6">
        <f t="shared" si="157"/>
        <v>44813</v>
      </c>
      <c r="C324" s="45">
        <f>SMALL(Daten!W:W,COUNTIF(Daten!W:W,"&lt;"&amp;Stundenaufzeichnung!B324+1))</f>
        <v>44578</v>
      </c>
      <c r="D324" s="45" t="str">
        <f t="shared" si="152"/>
        <v/>
      </c>
      <c r="E324" s="8">
        <f t="shared" si="153"/>
        <v>7</v>
      </c>
      <c r="F324" s="8">
        <f t="shared" si="158"/>
        <v>5</v>
      </c>
      <c r="G324" s="8">
        <f>IF(B324="","",VLOOKUP(E324,Datenblatt!$L$2:$N$8,3,FALSE))</f>
        <v>0</v>
      </c>
      <c r="H324" s="8" t="str">
        <f t="shared" si="159"/>
        <v/>
      </c>
      <c r="I324" s="11" t="str">
        <f>IFERROR(VLOOKUP(B324,Datenblatt!$E:$F,2,FALSE),"")</f>
        <v/>
      </c>
      <c r="J324" s="113"/>
      <c r="K324" s="19">
        <f>IF(B324&lt;Datenblatt!$B$9,"",IF(B324="","",IF(G324=0,Datenblatt!$B$7,"")))</f>
        <v>6.67</v>
      </c>
      <c r="L324" s="19" t="str">
        <f t="shared" si="160"/>
        <v/>
      </c>
      <c r="M324" s="124" t="str">
        <f t="shared" si="161"/>
        <v/>
      </c>
      <c r="N324" s="124" t="str">
        <f>IF(AND(L324=Datenblatt!$B$7,NOT(L323=Datenblatt!$B$7),NOT(L325=Datenblatt!$B$7)),"y",IF(AND(L324=Datenblatt!$B$7,L325=Datenblatt!$B$7,NOT(L323=Datenblatt!$B$7)),"a",IF(AND(L324=Datenblatt!$B$7,L323=Datenblatt!$B$7,NOT(L325=Datenblatt!$B$7)),"b","")))</f>
        <v/>
      </c>
      <c r="O324" s="19" t="str">
        <f t="shared" si="162"/>
        <v/>
      </c>
      <c r="P324" s="124" t="str">
        <f>IF(AND(M324=Datenblatt!$B$7,NOT(M323=Datenblatt!$B$7),NOT(M325=Datenblatt!$B$7)),"y",IF(AND(M324=Datenblatt!$B$7,M325=Datenblatt!$B$7,NOT(M323=Datenblatt!$B$7)),"a",IF(AND(M324=Datenblatt!$B$7,M323=Datenblatt!$B$7,NOT(M325=Datenblatt!$B$7)),"b","")))</f>
        <v/>
      </c>
      <c r="Q324" s="19" t="str">
        <f t="shared" si="163"/>
        <v/>
      </c>
      <c r="R324" s="124" t="str">
        <f>IF(I324="","",IF(AND(OR(J324="Krankenstand",J324="Urlaub",J324=""), AND(G324=0,NOT(I324=""))),Datenblatt!$B$7,""))</f>
        <v/>
      </c>
      <c r="S324" s="19" t="str">
        <f>IF(OR(J324="Krankenstand",J324="Urlaub"),"",IF(J324="","",VLOOKUP(D324,Dienste!C:W,21,)))</f>
        <v/>
      </c>
      <c r="T324" s="18" t="str">
        <f>IF(OR(J324="Krankenstand",J324="Urlaub"),"",IF(J324="","",VLOOKUP(D324,Dienste!C:W,5,)))</f>
        <v/>
      </c>
      <c r="U324" s="18" t="str">
        <f>IF(OR(J324="Krankenstand",J324="Urlaub"),"",IF(J324="","",VLOOKUP(D324,Dienste!C:W,6,)))</f>
        <v/>
      </c>
      <c r="V324" s="18" t="str">
        <f>IF(OR(J324="Krankenstand",J324="Urlaub"),"",IF(J324="","",VLOOKUP(D324,Dienste!C:W,7,)))</f>
        <v/>
      </c>
      <c r="W324" s="18" t="str">
        <f>IF(OR(J324="Krankenstand",J324="Urlaub"),"",IF(J324="","",VLOOKUP(D324,Dienste!C:W,11,)))</f>
        <v/>
      </c>
      <c r="X324" s="18" t="str">
        <f>IF(OR(J324="Krankenstand",J324="Urlaub"),"",IF(J324="","",VLOOKUP(D324,Dienste!C:W,12,)))</f>
        <v/>
      </c>
      <c r="Y324" s="19" t="str">
        <f>IF(OR(J324="Krankenstand",J324="Urlaub"),"",IF(J324="","",VLOOKUP(D324,Dienste!C:W,14,)))</f>
        <v/>
      </c>
      <c r="Z324" s="20" t="str">
        <f>IF(OR(J324="Krankenstand",J324="Urlaub"),"",IF(J324="","",VLOOKUP(D324,Dienste!C:W,15,)))</f>
        <v/>
      </c>
      <c r="AA324" s="124" t="str">
        <f t="shared" si="154"/>
        <v/>
      </c>
      <c r="AB324" s="19" t="str">
        <f t="shared" si="155"/>
        <v/>
      </c>
      <c r="AC324" s="126" t="str">
        <f>_xlfn.CONCAT(_xlfn.CONCAT(IF(I324="","",_xlfn.CONCAT("FT: ",I324,IF(J324="","","; "))),IF(B324&lt;Datenblatt!$B$9,"",IF(B324="","",IF(NOT(J324=""),SUBSTITUTE(SUBSTITUTE(SUBSTITUTE(J324," mR","")," oR","")," O",""),"")))),IF(AF324="","",_xlfn.CONCAT(CHAR(10),"; ",AF324)))</f>
        <v/>
      </c>
      <c r="AD324" s="124" t="str">
        <f t="shared" si="164"/>
        <v/>
      </c>
      <c r="AE324" s="19">
        <f t="shared" si="156"/>
        <v>0</v>
      </c>
      <c r="AF324" s="156"/>
    </row>
    <row r="325" spans="2:32" s="9" customFormat="1" ht="13">
      <c r="B325" s="6">
        <f t="shared" si="157"/>
        <v>44814</v>
      </c>
      <c r="C325" s="45">
        <f>SMALL(Daten!W:W,COUNTIF(Daten!W:W,"&lt;"&amp;Stundenaufzeichnung!B325+1))</f>
        <v>44578</v>
      </c>
      <c r="D325" s="45" t="str">
        <f t="shared" si="152"/>
        <v/>
      </c>
      <c r="E325" s="8">
        <f t="shared" si="153"/>
        <v>1</v>
      </c>
      <c r="F325" s="8">
        <f t="shared" si="158"/>
        <v>6</v>
      </c>
      <c r="G325" s="8">
        <f>IF(B325="","",VLOOKUP(E325,Datenblatt!$L$2:$N$8,3,FALSE))</f>
        <v>0</v>
      </c>
      <c r="H325" s="8" t="str">
        <f t="shared" si="159"/>
        <v/>
      </c>
      <c r="I325" s="11" t="str">
        <f>IFERROR(VLOOKUP(B325,Datenblatt!$E:$F,2,FALSE),"")</f>
        <v/>
      </c>
      <c r="J325" s="113"/>
      <c r="K325" s="19">
        <f>IF(B325&lt;Datenblatt!$B$9,"",IF(B325="","",IF(G325=0,Datenblatt!$B$7,"")))</f>
        <v>6.67</v>
      </c>
      <c r="L325" s="19" t="str">
        <f t="shared" si="160"/>
        <v/>
      </c>
      <c r="M325" s="124" t="str">
        <f t="shared" si="161"/>
        <v/>
      </c>
      <c r="N325" s="124" t="str">
        <f>IF(AND(L325=Datenblatt!$B$7,NOT(L324=Datenblatt!$B$7),NOT(L326=Datenblatt!$B$7)),"y",IF(AND(L325=Datenblatt!$B$7,L326=Datenblatt!$B$7,NOT(L324=Datenblatt!$B$7)),"a",IF(AND(L325=Datenblatt!$B$7,L324=Datenblatt!$B$7,NOT(L326=Datenblatt!$B$7)),"b","")))</f>
        <v/>
      </c>
      <c r="O325" s="19" t="str">
        <f t="shared" si="162"/>
        <v/>
      </c>
      <c r="P325" s="124" t="str">
        <f>IF(AND(M325=Datenblatt!$B$7,NOT(M324=Datenblatt!$B$7),NOT(M326=Datenblatt!$B$7)),"y",IF(AND(M325=Datenblatt!$B$7,M326=Datenblatt!$B$7,NOT(M324=Datenblatt!$B$7)),"a",IF(AND(M325=Datenblatt!$B$7,M324=Datenblatt!$B$7,NOT(M326=Datenblatt!$B$7)),"b","")))</f>
        <v/>
      </c>
      <c r="Q325" s="19" t="str">
        <f t="shared" si="163"/>
        <v/>
      </c>
      <c r="R325" s="124" t="str">
        <f>IF(I325="","",IF(AND(OR(J325="Krankenstand",J325="Urlaub",J325=""), AND(G325=0,NOT(I325=""))),Datenblatt!$B$7,""))</f>
        <v/>
      </c>
      <c r="S325" s="19" t="str">
        <f>IF(OR(J325="Krankenstand",J325="Urlaub"),"",IF(J325="","",VLOOKUP(D325,Dienste!C:W,21,)))</f>
        <v/>
      </c>
      <c r="T325" s="18" t="str">
        <f>IF(OR(J325="Krankenstand",J325="Urlaub"),"",IF(J325="","",VLOOKUP(D325,Dienste!C:W,5,)))</f>
        <v/>
      </c>
      <c r="U325" s="18" t="str">
        <f>IF(OR(J325="Krankenstand",J325="Urlaub"),"",IF(J325="","",VLOOKUP(D325,Dienste!C:W,6,)))</f>
        <v/>
      </c>
      <c r="V325" s="18" t="str">
        <f>IF(OR(J325="Krankenstand",J325="Urlaub"),"",IF(J325="","",VLOOKUP(D325,Dienste!C:W,7,)))</f>
        <v/>
      </c>
      <c r="W325" s="18" t="str">
        <f>IF(OR(J325="Krankenstand",J325="Urlaub"),"",IF(J325="","",VLOOKUP(D325,Dienste!C:W,11,)))</f>
        <v/>
      </c>
      <c r="X325" s="18" t="str">
        <f>IF(OR(J325="Krankenstand",J325="Urlaub"),"",IF(J325="","",VLOOKUP(D325,Dienste!C:W,12,)))</f>
        <v/>
      </c>
      <c r="Y325" s="19" t="str">
        <f>IF(OR(J325="Krankenstand",J325="Urlaub"),"",IF(J325="","",VLOOKUP(D325,Dienste!C:W,14,)))</f>
        <v/>
      </c>
      <c r="Z325" s="20" t="str">
        <f>IF(OR(J325="Krankenstand",J325="Urlaub"),"",IF(J325="","",VLOOKUP(D325,Dienste!C:W,15,)))</f>
        <v/>
      </c>
      <c r="AA325" s="124" t="str">
        <f t="shared" si="154"/>
        <v/>
      </c>
      <c r="AB325" s="19" t="str">
        <f t="shared" si="155"/>
        <v/>
      </c>
      <c r="AC325" s="126" t="str">
        <f>_xlfn.CONCAT(_xlfn.CONCAT(IF(I325="","",_xlfn.CONCAT("FT: ",I325,IF(J325="","","; "))),IF(B325&lt;Datenblatt!$B$9,"",IF(B325="","",IF(NOT(J325=""),SUBSTITUTE(SUBSTITUTE(SUBSTITUTE(J325," mR","")," oR","")," O",""),"")))),IF(AF325="","",_xlfn.CONCAT(CHAR(10),"; ",AF325)))</f>
        <v/>
      </c>
      <c r="AD325" s="124" t="str">
        <f t="shared" si="164"/>
        <v/>
      </c>
      <c r="AE325" s="19">
        <f t="shared" si="156"/>
        <v>0</v>
      </c>
      <c r="AF325" s="156"/>
    </row>
    <row r="326" spans="2:32" s="9" customFormat="1" ht="13">
      <c r="B326" s="6">
        <f t="shared" si="157"/>
        <v>44815</v>
      </c>
      <c r="C326" s="45">
        <f>SMALL(Daten!W:W,COUNTIF(Daten!W:W,"&lt;"&amp;Stundenaufzeichnung!B326+1))</f>
        <v>44578</v>
      </c>
      <c r="D326" s="45" t="str">
        <f t="shared" si="152"/>
        <v/>
      </c>
      <c r="E326" s="8">
        <f t="shared" si="153"/>
        <v>2</v>
      </c>
      <c r="F326" s="8">
        <f t="shared" si="158"/>
        <v>7</v>
      </c>
      <c r="G326" s="8">
        <f>IF(B326="","",VLOOKUP(E326,Datenblatt!$L$2:$N$8,3,FALSE))</f>
        <v>1</v>
      </c>
      <c r="H326" s="8" t="str">
        <f t="shared" si="159"/>
        <v>x</v>
      </c>
      <c r="I326" s="11" t="str">
        <f>IFERROR(VLOOKUP(B326,Datenblatt!$E:$F,2,FALSE),"")</f>
        <v/>
      </c>
      <c r="J326" s="113"/>
      <c r="K326" s="19" t="str">
        <f>IF(B326&lt;Datenblatt!$B$9,"",IF(B326="","",IF(G326=0,Datenblatt!$B$7,"")))</f>
        <v/>
      </c>
      <c r="L326" s="19" t="str">
        <f t="shared" si="160"/>
        <v/>
      </c>
      <c r="M326" s="124" t="str">
        <f t="shared" si="161"/>
        <v/>
      </c>
      <c r="N326" s="124" t="str">
        <f>IF(AND(L326=Datenblatt!$B$7,NOT(L325=Datenblatt!$B$7),NOT(L327=Datenblatt!$B$7)),"y",IF(AND(L326=Datenblatt!$B$7,L327=Datenblatt!$B$7,NOT(L325=Datenblatt!$B$7)),"a",IF(AND(L326=Datenblatt!$B$7,L325=Datenblatt!$B$7,NOT(L327=Datenblatt!$B$7)),"b","")))</f>
        <v/>
      </c>
      <c r="O326" s="19" t="str">
        <f t="shared" si="162"/>
        <v/>
      </c>
      <c r="P326" s="124" t="str">
        <f>IF(AND(M326=Datenblatt!$B$7,NOT(M325=Datenblatt!$B$7),NOT(M327=Datenblatt!$B$7)),"y",IF(AND(M326=Datenblatt!$B$7,M327=Datenblatt!$B$7,NOT(M325=Datenblatt!$B$7)),"a",IF(AND(M326=Datenblatt!$B$7,M325=Datenblatt!$B$7,NOT(M327=Datenblatt!$B$7)),"b","")))</f>
        <v/>
      </c>
      <c r="Q326" s="19" t="str">
        <f t="shared" si="163"/>
        <v/>
      </c>
      <c r="R326" s="124" t="str">
        <f>IF(I326="","",IF(AND(OR(J326="Krankenstand",J326="Urlaub",J326=""), AND(G326=0,NOT(I326=""))),Datenblatt!$B$7,""))</f>
        <v/>
      </c>
      <c r="S326" s="19" t="str">
        <f>IF(OR(J326="Krankenstand",J326="Urlaub"),"",IF(J326="","",VLOOKUP(D326,Dienste!C:W,21,)))</f>
        <v/>
      </c>
      <c r="T326" s="18" t="str">
        <f>IF(OR(J326="Krankenstand",J326="Urlaub"),"",IF(J326="","",VLOOKUP(D326,Dienste!C:W,5,)))</f>
        <v/>
      </c>
      <c r="U326" s="18" t="str">
        <f>IF(OR(J326="Krankenstand",J326="Urlaub"),"",IF(J326="","",VLOOKUP(D326,Dienste!C:W,6,)))</f>
        <v/>
      </c>
      <c r="V326" s="18" t="str">
        <f>IF(OR(J326="Krankenstand",J326="Urlaub"),"",IF(J326="","",VLOOKUP(D326,Dienste!C:W,7,)))</f>
        <v/>
      </c>
      <c r="W326" s="18" t="str">
        <f>IF(OR(J326="Krankenstand",J326="Urlaub"),"",IF(J326="","",VLOOKUP(D326,Dienste!C:W,11,)))</f>
        <v/>
      </c>
      <c r="X326" s="18" t="str">
        <f>IF(OR(J326="Krankenstand",J326="Urlaub"),"",IF(J326="","",VLOOKUP(D326,Dienste!C:W,12,)))</f>
        <v/>
      </c>
      <c r="Y326" s="19" t="str">
        <f>IF(OR(J326="Krankenstand",J326="Urlaub"),"",IF(J326="","",VLOOKUP(D326,Dienste!C:W,14,)))</f>
        <v/>
      </c>
      <c r="Z326" s="20" t="str">
        <f>IF(OR(J326="Krankenstand",J326="Urlaub"),"",IF(J326="","",VLOOKUP(D326,Dienste!C:W,15,)))</f>
        <v/>
      </c>
      <c r="AA326" s="124" t="str">
        <f t="shared" si="154"/>
        <v/>
      </c>
      <c r="AB326" s="19" t="str">
        <f t="shared" si="155"/>
        <v/>
      </c>
      <c r="AC326" s="126" t="str">
        <f>_xlfn.CONCAT(_xlfn.CONCAT(IF(I326="","",_xlfn.CONCAT("FT: ",I326,IF(J326="","","; "))),IF(B326&lt;Datenblatt!$B$9,"",IF(B326="","",IF(NOT(J326=""),SUBSTITUTE(SUBSTITUTE(SUBSTITUTE(J326," mR","")," oR","")," O",""),"")))),IF(AF326="","",_xlfn.CONCAT(CHAR(10),"; ",AF326)))</f>
        <v/>
      </c>
      <c r="AD326" s="124" t="str">
        <f t="shared" si="164"/>
        <v/>
      </c>
      <c r="AE326" s="19">
        <f t="shared" si="156"/>
        <v>0</v>
      </c>
      <c r="AF326" s="156"/>
    </row>
    <row r="327" spans="2:32" s="9" customFormat="1" ht="13">
      <c r="B327" s="6">
        <f t="shared" si="157"/>
        <v>44816</v>
      </c>
      <c r="C327" s="45">
        <f>SMALL(Daten!W:W,COUNTIF(Daten!W:W,"&lt;"&amp;Stundenaufzeichnung!B327+1))</f>
        <v>44578</v>
      </c>
      <c r="D327" s="45" t="str">
        <f t="shared" si="152"/>
        <v/>
      </c>
      <c r="E327" s="8">
        <f t="shared" si="153"/>
        <v>3</v>
      </c>
      <c r="F327" s="8">
        <f t="shared" si="158"/>
        <v>1</v>
      </c>
      <c r="G327" s="8">
        <f>IF(B327="","",VLOOKUP(E327,Datenblatt!$L$2:$N$8,3,FALSE))</f>
        <v>0</v>
      </c>
      <c r="H327" s="8" t="str">
        <f t="shared" si="159"/>
        <v/>
      </c>
      <c r="I327" s="11" t="str">
        <f>IFERROR(VLOOKUP(B327,Datenblatt!$E:$F,2,FALSE),"")</f>
        <v/>
      </c>
      <c r="J327" s="113"/>
      <c r="K327" s="19">
        <f>IF(B327&lt;Datenblatt!$B$9,"",IF(B327="","",IF(G327=0,Datenblatt!$B$7,"")))</f>
        <v>6.67</v>
      </c>
      <c r="L327" s="19" t="str">
        <f t="shared" si="160"/>
        <v/>
      </c>
      <c r="M327" s="124" t="str">
        <f t="shared" si="161"/>
        <v/>
      </c>
      <c r="N327" s="124" t="str">
        <f>IF(AND(L327=Datenblatt!$B$7,NOT(L326=Datenblatt!$B$7),NOT(L328=Datenblatt!$B$7)),"y",IF(AND(L327=Datenblatt!$B$7,L328=Datenblatt!$B$7,NOT(L326=Datenblatt!$B$7)),"a",IF(AND(L327=Datenblatt!$B$7,L326=Datenblatt!$B$7,NOT(L328=Datenblatt!$B$7)),"b","")))</f>
        <v/>
      </c>
      <c r="O327" s="19" t="str">
        <f t="shared" si="162"/>
        <v/>
      </c>
      <c r="P327" s="124" t="str">
        <f>IF(AND(M327=Datenblatt!$B$7,NOT(M326=Datenblatt!$B$7),NOT(M328=Datenblatt!$B$7)),"y",IF(AND(M327=Datenblatt!$B$7,M328=Datenblatt!$B$7,NOT(M326=Datenblatt!$B$7)),"a",IF(AND(M327=Datenblatt!$B$7,M326=Datenblatt!$B$7,NOT(M328=Datenblatt!$B$7)),"b","")))</f>
        <v/>
      </c>
      <c r="Q327" s="19" t="str">
        <f t="shared" si="163"/>
        <v/>
      </c>
      <c r="R327" s="124" t="str">
        <f>IF(I327="","",IF(AND(OR(J327="Krankenstand",J327="Urlaub",J327=""), AND(G327=0,NOT(I327=""))),Datenblatt!$B$7,""))</f>
        <v/>
      </c>
      <c r="S327" s="19" t="str">
        <f>IF(OR(J327="Krankenstand",J327="Urlaub"),"",IF(J327="","",VLOOKUP(D327,Dienste!C:W,21,)))</f>
        <v/>
      </c>
      <c r="T327" s="18" t="str">
        <f>IF(OR(J327="Krankenstand",J327="Urlaub"),"",IF(J327="","",VLOOKUP(D327,Dienste!C:W,5,)))</f>
        <v/>
      </c>
      <c r="U327" s="18" t="str">
        <f>IF(OR(J327="Krankenstand",J327="Urlaub"),"",IF(J327="","",VLOOKUP(D327,Dienste!C:W,6,)))</f>
        <v/>
      </c>
      <c r="V327" s="18" t="str">
        <f>IF(OR(J327="Krankenstand",J327="Urlaub"),"",IF(J327="","",VLOOKUP(D327,Dienste!C:W,7,)))</f>
        <v/>
      </c>
      <c r="W327" s="18" t="str">
        <f>IF(OR(J327="Krankenstand",J327="Urlaub"),"",IF(J327="","",VLOOKUP(D327,Dienste!C:W,11,)))</f>
        <v/>
      </c>
      <c r="X327" s="18" t="str">
        <f>IF(OR(J327="Krankenstand",J327="Urlaub"),"",IF(J327="","",VLOOKUP(D327,Dienste!C:W,12,)))</f>
        <v/>
      </c>
      <c r="Y327" s="19" t="str">
        <f>IF(OR(J327="Krankenstand",J327="Urlaub"),"",IF(J327="","",VLOOKUP(D327,Dienste!C:W,14,)))</f>
        <v/>
      </c>
      <c r="Z327" s="20" t="str">
        <f>IF(OR(J327="Krankenstand",J327="Urlaub"),"",IF(J327="","",VLOOKUP(D327,Dienste!C:W,15,)))</f>
        <v/>
      </c>
      <c r="AA327" s="124" t="str">
        <f t="shared" si="154"/>
        <v/>
      </c>
      <c r="AB327" s="19" t="str">
        <f t="shared" si="155"/>
        <v/>
      </c>
      <c r="AC327" s="126" t="str">
        <f>_xlfn.CONCAT(_xlfn.CONCAT(IF(I327="","",_xlfn.CONCAT("FT: ",I327,IF(J327="","","; "))),IF(B327&lt;Datenblatt!$B$9,"",IF(B327="","",IF(NOT(J327=""),SUBSTITUTE(SUBSTITUTE(SUBSTITUTE(J327," mR","")," oR","")," O",""),"")))),IF(AF327="","",_xlfn.CONCAT(CHAR(10),"; ",AF327)))</f>
        <v/>
      </c>
      <c r="AD327" s="124" t="str">
        <f t="shared" si="164"/>
        <v/>
      </c>
      <c r="AE327" s="19">
        <f t="shared" si="156"/>
        <v>0</v>
      </c>
      <c r="AF327" s="156"/>
    </row>
    <row r="328" spans="2:32" s="9" customFormat="1" ht="13">
      <c r="B328" s="6">
        <f t="shared" si="157"/>
        <v>44817</v>
      </c>
      <c r="C328" s="45">
        <f>SMALL(Daten!W:W,COUNTIF(Daten!W:W,"&lt;"&amp;Stundenaufzeichnung!B328+1))</f>
        <v>44578</v>
      </c>
      <c r="D328" s="45" t="str">
        <f t="shared" si="152"/>
        <v/>
      </c>
      <c r="E328" s="8">
        <f t="shared" si="153"/>
        <v>4</v>
      </c>
      <c r="F328" s="8">
        <f t="shared" si="158"/>
        <v>2</v>
      </c>
      <c r="G328" s="8">
        <f>IF(B328="","",VLOOKUP(E328,Datenblatt!$L$2:$N$8,3,FALSE))</f>
        <v>0</v>
      </c>
      <c r="H328" s="8" t="str">
        <f t="shared" si="159"/>
        <v/>
      </c>
      <c r="I328" s="11" t="str">
        <f>IFERROR(VLOOKUP(B328,Datenblatt!$E:$F,2,FALSE),"")</f>
        <v/>
      </c>
      <c r="J328" s="113"/>
      <c r="K328" s="19">
        <f>IF(B328&lt;Datenblatt!$B$9,"",IF(B328="","",IF(G328=0,Datenblatt!$B$7,"")))</f>
        <v>6.67</v>
      </c>
      <c r="L328" s="19" t="str">
        <f t="shared" si="160"/>
        <v/>
      </c>
      <c r="M328" s="124" t="str">
        <f t="shared" si="161"/>
        <v/>
      </c>
      <c r="N328" s="124" t="str">
        <f>IF(AND(L328=Datenblatt!$B$7,NOT(L327=Datenblatt!$B$7),NOT(L329=Datenblatt!$B$7)),"y",IF(AND(L328=Datenblatt!$B$7,L329=Datenblatt!$B$7,NOT(L327=Datenblatt!$B$7)),"a",IF(AND(L328=Datenblatt!$B$7,L327=Datenblatt!$B$7,NOT(L329=Datenblatt!$B$7)),"b","")))</f>
        <v/>
      </c>
      <c r="O328" s="19" t="str">
        <f t="shared" si="162"/>
        <v/>
      </c>
      <c r="P328" s="124" t="str">
        <f>IF(AND(M328=Datenblatt!$B$7,NOT(M327=Datenblatt!$B$7),NOT(M329=Datenblatt!$B$7)),"y",IF(AND(M328=Datenblatt!$B$7,M329=Datenblatt!$B$7,NOT(M327=Datenblatt!$B$7)),"a",IF(AND(M328=Datenblatt!$B$7,M327=Datenblatt!$B$7,NOT(M329=Datenblatt!$B$7)),"b","")))</f>
        <v/>
      </c>
      <c r="Q328" s="19" t="str">
        <f t="shared" si="163"/>
        <v/>
      </c>
      <c r="R328" s="124" t="str">
        <f>IF(I328="","",IF(AND(OR(J328="Krankenstand",J328="Urlaub",J328=""), AND(G328=0,NOT(I328=""))),Datenblatt!$B$7,""))</f>
        <v/>
      </c>
      <c r="S328" s="19" t="str">
        <f>IF(OR(J328="Krankenstand",J328="Urlaub"),"",IF(J328="","",VLOOKUP(D328,Dienste!C:W,21,)))</f>
        <v/>
      </c>
      <c r="T328" s="18" t="str">
        <f>IF(OR(J328="Krankenstand",J328="Urlaub"),"",IF(J328="","",VLOOKUP(D328,Dienste!C:W,5,)))</f>
        <v/>
      </c>
      <c r="U328" s="18" t="str">
        <f>IF(OR(J328="Krankenstand",J328="Urlaub"),"",IF(J328="","",VLOOKUP(D328,Dienste!C:W,6,)))</f>
        <v/>
      </c>
      <c r="V328" s="18" t="str">
        <f>IF(OR(J328="Krankenstand",J328="Urlaub"),"",IF(J328="","",VLOOKUP(D328,Dienste!C:W,7,)))</f>
        <v/>
      </c>
      <c r="W328" s="18" t="str">
        <f>IF(OR(J328="Krankenstand",J328="Urlaub"),"",IF(J328="","",VLOOKUP(D328,Dienste!C:W,11,)))</f>
        <v/>
      </c>
      <c r="X328" s="18" t="str">
        <f>IF(OR(J328="Krankenstand",J328="Urlaub"),"",IF(J328="","",VLOOKUP(D328,Dienste!C:W,12,)))</f>
        <v/>
      </c>
      <c r="Y328" s="19" t="str">
        <f>IF(OR(J328="Krankenstand",J328="Urlaub"),"",IF(J328="","",VLOOKUP(D328,Dienste!C:W,14,)))</f>
        <v/>
      </c>
      <c r="Z328" s="20" t="str">
        <f>IF(OR(J328="Krankenstand",J328="Urlaub"),"",IF(J328="","",VLOOKUP(D328,Dienste!C:W,15,)))</f>
        <v/>
      </c>
      <c r="AA328" s="124" t="str">
        <f t="shared" si="154"/>
        <v/>
      </c>
      <c r="AB328" s="19" t="str">
        <f t="shared" si="155"/>
        <v/>
      </c>
      <c r="AC328" s="126" t="str">
        <f>_xlfn.CONCAT(_xlfn.CONCAT(IF(I328="","",_xlfn.CONCAT("FT: ",I328,IF(J328="","","; "))),IF(B328&lt;Datenblatt!$B$9,"",IF(B328="","",IF(NOT(J328=""),SUBSTITUTE(SUBSTITUTE(SUBSTITUTE(J328," mR","")," oR","")," O",""),"")))),IF(AF328="","",_xlfn.CONCAT(CHAR(10),"; ",AF328)))</f>
        <v/>
      </c>
      <c r="AD328" s="124" t="str">
        <f t="shared" si="164"/>
        <v/>
      </c>
      <c r="AE328" s="19">
        <f t="shared" si="156"/>
        <v>0</v>
      </c>
      <c r="AF328" s="156"/>
    </row>
    <row r="329" spans="2:32" s="9" customFormat="1" ht="13">
      <c r="B329" s="6">
        <f t="shared" si="157"/>
        <v>44818</v>
      </c>
      <c r="C329" s="45">
        <f>SMALL(Daten!W:W,COUNTIF(Daten!W:W,"&lt;"&amp;Stundenaufzeichnung!B329+1))</f>
        <v>44578</v>
      </c>
      <c r="D329" s="45" t="str">
        <f t="shared" si="152"/>
        <v/>
      </c>
      <c r="E329" s="8">
        <f t="shared" si="153"/>
        <v>5</v>
      </c>
      <c r="F329" s="8">
        <f t="shared" si="158"/>
        <v>3</v>
      </c>
      <c r="G329" s="8">
        <f>IF(B329="","",VLOOKUP(E329,Datenblatt!$L$2:$N$8,3,FALSE))</f>
        <v>0</v>
      </c>
      <c r="H329" s="8" t="str">
        <f t="shared" si="159"/>
        <v/>
      </c>
      <c r="I329" s="11" t="str">
        <f>IFERROR(VLOOKUP(B329,Datenblatt!$E:$F,2,FALSE),"")</f>
        <v/>
      </c>
      <c r="J329" s="113"/>
      <c r="K329" s="19">
        <f>IF(B329&lt;Datenblatt!$B$9,"",IF(B329="","",IF(G329=0,Datenblatt!$B$7,"")))</f>
        <v>6.67</v>
      </c>
      <c r="L329" s="19" t="str">
        <f t="shared" si="160"/>
        <v/>
      </c>
      <c r="M329" s="124" t="str">
        <f t="shared" si="161"/>
        <v/>
      </c>
      <c r="N329" s="124" t="str">
        <f>IF(AND(L329=Datenblatt!$B$7,NOT(L328=Datenblatt!$B$7),NOT(L330=Datenblatt!$B$7)),"y",IF(AND(L329=Datenblatt!$B$7,L330=Datenblatt!$B$7,NOT(L328=Datenblatt!$B$7)),"a",IF(AND(L329=Datenblatt!$B$7,L328=Datenblatt!$B$7,NOT(L330=Datenblatt!$B$7)),"b","")))</f>
        <v/>
      </c>
      <c r="O329" s="19" t="str">
        <f t="shared" si="162"/>
        <v/>
      </c>
      <c r="P329" s="124" t="str">
        <f>IF(AND(M329=Datenblatt!$B$7,NOT(M328=Datenblatt!$B$7),NOT(M330=Datenblatt!$B$7)),"y",IF(AND(M329=Datenblatt!$B$7,M330=Datenblatt!$B$7,NOT(M328=Datenblatt!$B$7)),"a",IF(AND(M329=Datenblatt!$B$7,M328=Datenblatt!$B$7,NOT(M330=Datenblatt!$B$7)),"b","")))</f>
        <v/>
      </c>
      <c r="Q329" s="19" t="str">
        <f t="shared" si="163"/>
        <v/>
      </c>
      <c r="R329" s="124" t="str">
        <f>IF(I329="","",IF(AND(OR(J329="Krankenstand",J329="Urlaub",J329=""), AND(G329=0,NOT(I329=""))),Datenblatt!$B$7,""))</f>
        <v/>
      </c>
      <c r="S329" s="19" t="str">
        <f>IF(OR(J329="Krankenstand",J329="Urlaub"),"",IF(J329="","",VLOOKUP(D329,Dienste!C:W,21,)))</f>
        <v/>
      </c>
      <c r="T329" s="18" t="str">
        <f>IF(OR(J329="Krankenstand",J329="Urlaub"),"",IF(J329="","",VLOOKUP(D329,Dienste!C:W,5,)))</f>
        <v/>
      </c>
      <c r="U329" s="18" t="str">
        <f>IF(OR(J329="Krankenstand",J329="Urlaub"),"",IF(J329="","",VLOOKUP(D329,Dienste!C:W,6,)))</f>
        <v/>
      </c>
      <c r="V329" s="18" t="str">
        <f>IF(OR(J329="Krankenstand",J329="Urlaub"),"",IF(J329="","",VLOOKUP(D329,Dienste!C:W,7,)))</f>
        <v/>
      </c>
      <c r="W329" s="18" t="str">
        <f>IF(OR(J329="Krankenstand",J329="Urlaub"),"",IF(J329="","",VLOOKUP(D329,Dienste!C:W,11,)))</f>
        <v/>
      </c>
      <c r="X329" s="18" t="str">
        <f>IF(OR(J329="Krankenstand",J329="Urlaub"),"",IF(J329="","",VLOOKUP(D329,Dienste!C:W,12,)))</f>
        <v/>
      </c>
      <c r="Y329" s="19" t="str">
        <f>IF(OR(J329="Krankenstand",J329="Urlaub"),"",IF(J329="","",VLOOKUP(D329,Dienste!C:W,14,)))</f>
        <v/>
      </c>
      <c r="Z329" s="20" t="str">
        <f>IF(OR(J329="Krankenstand",J329="Urlaub"),"",IF(J329="","",VLOOKUP(D329,Dienste!C:W,15,)))</f>
        <v/>
      </c>
      <c r="AA329" s="124" t="str">
        <f t="shared" si="154"/>
        <v/>
      </c>
      <c r="AB329" s="19" t="str">
        <f t="shared" si="155"/>
        <v/>
      </c>
      <c r="AC329" s="126" t="str">
        <f>_xlfn.CONCAT(_xlfn.CONCAT(IF(I329="","",_xlfn.CONCAT("FT: ",I329,IF(J329="","","; "))),IF(B329&lt;Datenblatt!$B$9,"",IF(B329="","",IF(NOT(J329=""),SUBSTITUTE(SUBSTITUTE(SUBSTITUTE(J329," mR","")," oR","")," O",""),"")))),IF(AF329="","",_xlfn.CONCAT(CHAR(10),"; ",AF329)))</f>
        <v/>
      </c>
      <c r="AD329" s="124" t="str">
        <f t="shared" si="164"/>
        <v/>
      </c>
      <c r="AE329" s="19">
        <f t="shared" si="156"/>
        <v>0</v>
      </c>
      <c r="AF329" s="156"/>
    </row>
    <row r="330" spans="2:32" s="9" customFormat="1" ht="13">
      <c r="B330" s="6">
        <f t="shared" si="157"/>
        <v>44819</v>
      </c>
      <c r="C330" s="45">
        <f>SMALL(Daten!W:W,COUNTIF(Daten!W:W,"&lt;"&amp;Stundenaufzeichnung!B330+1))</f>
        <v>44578</v>
      </c>
      <c r="D330" s="45" t="str">
        <f t="shared" si="152"/>
        <v/>
      </c>
      <c r="E330" s="8">
        <f t="shared" si="153"/>
        <v>6</v>
      </c>
      <c r="F330" s="8">
        <f t="shared" si="158"/>
        <v>4</v>
      </c>
      <c r="G330" s="8">
        <f>IF(B330="","",VLOOKUP(E330,Datenblatt!$L$2:$N$8,3,FALSE))</f>
        <v>0</v>
      </c>
      <c r="H330" s="8" t="str">
        <f t="shared" si="159"/>
        <v/>
      </c>
      <c r="I330" s="11" t="str">
        <f>IFERROR(VLOOKUP(B330,Datenblatt!$E:$F,2,FALSE),"")</f>
        <v/>
      </c>
      <c r="J330" s="113"/>
      <c r="K330" s="19">
        <f>IF(B330&lt;Datenblatt!$B$9,"",IF(B330="","",IF(G330=0,Datenblatt!$B$7,"")))</f>
        <v>6.67</v>
      </c>
      <c r="L330" s="19" t="str">
        <f t="shared" si="160"/>
        <v/>
      </c>
      <c r="M330" s="124" t="str">
        <f t="shared" si="161"/>
        <v/>
      </c>
      <c r="N330" s="124" t="str">
        <f>IF(AND(L330=Datenblatt!$B$7,NOT(L329=Datenblatt!$B$7),NOT(L331=Datenblatt!$B$7)),"y",IF(AND(L330=Datenblatt!$B$7,L331=Datenblatt!$B$7,NOT(L329=Datenblatt!$B$7)),"a",IF(AND(L330=Datenblatt!$B$7,L329=Datenblatt!$B$7,NOT(L331=Datenblatt!$B$7)),"b","")))</f>
        <v/>
      </c>
      <c r="O330" s="19" t="str">
        <f t="shared" si="162"/>
        <v/>
      </c>
      <c r="P330" s="124" t="str">
        <f>IF(AND(M330=Datenblatt!$B$7,NOT(M329=Datenblatt!$B$7),NOT(M331=Datenblatt!$B$7)),"y",IF(AND(M330=Datenblatt!$B$7,M331=Datenblatt!$B$7,NOT(M329=Datenblatt!$B$7)),"a",IF(AND(M330=Datenblatt!$B$7,M329=Datenblatt!$B$7,NOT(M331=Datenblatt!$B$7)),"b","")))</f>
        <v/>
      </c>
      <c r="Q330" s="19" t="str">
        <f t="shared" si="163"/>
        <v/>
      </c>
      <c r="R330" s="124" t="str">
        <f>IF(I330="","",IF(AND(OR(J330="Krankenstand",J330="Urlaub",J330=""), AND(G330=0,NOT(I330=""))),Datenblatt!$B$7,""))</f>
        <v/>
      </c>
      <c r="S330" s="19" t="str">
        <f>IF(OR(J330="Krankenstand",J330="Urlaub"),"",IF(J330="","",VLOOKUP(D330,Dienste!C:W,21,)))</f>
        <v/>
      </c>
      <c r="T330" s="18" t="str">
        <f>IF(OR(J330="Krankenstand",J330="Urlaub"),"",IF(J330="","",VLOOKUP(D330,Dienste!C:W,5,)))</f>
        <v/>
      </c>
      <c r="U330" s="18" t="str">
        <f>IF(OR(J330="Krankenstand",J330="Urlaub"),"",IF(J330="","",VLOOKUP(D330,Dienste!C:W,6,)))</f>
        <v/>
      </c>
      <c r="V330" s="18" t="str">
        <f>IF(OR(J330="Krankenstand",J330="Urlaub"),"",IF(J330="","",VLOOKUP(D330,Dienste!C:W,7,)))</f>
        <v/>
      </c>
      <c r="W330" s="18" t="str">
        <f>IF(OR(J330="Krankenstand",J330="Urlaub"),"",IF(J330="","",VLOOKUP(D330,Dienste!C:W,11,)))</f>
        <v/>
      </c>
      <c r="X330" s="18" t="str">
        <f>IF(OR(J330="Krankenstand",J330="Urlaub"),"",IF(J330="","",VLOOKUP(D330,Dienste!C:W,12,)))</f>
        <v/>
      </c>
      <c r="Y330" s="19" t="str">
        <f>IF(OR(J330="Krankenstand",J330="Urlaub"),"",IF(J330="","",VLOOKUP(D330,Dienste!C:W,14,)))</f>
        <v/>
      </c>
      <c r="Z330" s="20" t="str">
        <f>IF(OR(J330="Krankenstand",J330="Urlaub"),"",IF(J330="","",VLOOKUP(D330,Dienste!C:W,15,)))</f>
        <v/>
      </c>
      <c r="AA330" s="124" t="str">
        <f t="shared" si="154"/>
        <v/>
      </c>
      <c r="AB330" s="19" t="str">
        <f t="shared" si="155"/>
        <v/>
      </c>
      <c r="AC330" s="126" t="str">
        <f>_xlfn.CONCAT(_xlfn.CONCAT(IF(I330="","",_xlfn.CONCAT("FT: ",I330,IF(J330="","","; "))),IF(B330&lt;Datenblatt!$B$9,"",IF(B330="","",IF(NOT(J330=""),SUBSTITUTE(SUBSTITUTE(SUBSTITUTE(J330," mR","")," oR","")," O",""),"")))),IF(AF330="","",_xlfn.CONCAT(CHAR(10),"; ",AF330)))</f>
        <v/>
      </c>
      <c r="AD330" s="124" t="str">
        <f t="shared" si="164"/>
        <v/>
      </c>
      <c r="AE330" s="19">
        <f t="shared" si="156"/>
        <v>0</v>
      </c>
      <c r="AF330" s="156"/>
    </row>
    <row r="331" spans="2:32" s="9" customFormat="1" ht="13">
      <c r="B331" s="6">
        <f t="shared" si="157"/>
        <v>44820</v>
      </c>
      <c r="C331" s="45">
        <f>SMALL(Daten!W:W,COUNTIF(Daten!W:W,"&lt;"&amp;Stundenaufzeichnung!B331+1))</f>
        <v>44578</v>
      </c>
      <c r="D331" s="45" t="str">
        <f t="shared" si="152"/>
        <v/>
      </c>
      <c r="E331" s="8">
        <f t="shared" si="153"/>
        <v>7</v>
      </c>
      <c r="F331" s="8">
        <f t="shared" si="158"/>
        <v>5</v>
      </c>
      <c r="G331" s="8">
        <f>IF(B331="","",VLOOKUP(E331,Datenblatt!$L$2:$N$8,3,FALSE))</f>
        <v>0</v>
      </c>
      <c r="H331" s="8" t="str">
        <f t="shared" si="159"/>
        <v/>
      </c>
      <c r="I331" s="11" t="str">
        <f>IFERROR(VLOOKUP(B331,Datenblatt!$E:$F,2,FALSE),"")</f>
        <v/>
      </c>
      <c r="J331" s="113"/>
      <c r="K331" s="19">
        <f>IF(B331&lt;Datenblatt!$B$9,"",IF(B331="","",IF(G331=0,Datenblatt!$B$7,"")))</f>
        <v>6.67</v>
      </c>
      <c r="L331" s="19" t="str">
        <f t="shared" si="160"/>
        <v/>
      </c>
      <c r="M331" s="124" t="str">
        <f t="shared" si="161"/>
        <v/>
      </c>
      <c r="N331" s="124" t="str">
        <f>IF(AND(L331=Datenblatt!$B$7,NOT(L330=Datenblatt!$B$7),NOT(L332=Datenblatt!$B$7)),"y",IF(AND(L331=Datenblatt!$B$7,L332=Datenblatt!$B$7,NOT(L330=Datenblatt!$B$7)),"a",IF(AND(L331=Datenblatt!$B$7,L330=Datenblatt!$B$7,NOT(L332=Datenblatt!$B$7)),"b","")))</f>
        <v/>
      </c>
      <c r="O331" s="19" t="str">
        <f t="shared" si="162"/>
        <v/>
      </c>
      <c r="P331" s="124" t="str">
        <f>IF(AND(M331=Datenblatt!$B$7,NOT(M330=Datenblatt!$B$7),NOT(M332=Datenblatt!$B$7)),"y",IF(AND(M331=Datenblatt!$B$7,M332=Datenblatt!$B$7,NOT(M330=Datenblatt!$B$7)),"a",IF(AND(M331=Datenblatt!$B$7,M330=Datenblatt!$B$7,NOT(M332=Datenblatt!$B$7)),"b","")))</f>
        <v/>
      </c>
      <c r="Q331" s="19" t="str">
        <f t="shared" si="163"/>
        <v/>
      </c>
      <c r="R331" s="124" t="str">
        <f>IF(I331="","",IF(AND(OR(J331="Krankenstand",J331="Urlaub",J331=""), AND(G331=0,NOT(I331=""))),Datenblatt!$B$7,""))</f>
        <v/>
      </c>
      <c r="S331" s="19" t="str">
        <f>IF(OR(J331="Krankenstand",J331="Urlaub"),"",IF(J331="","",VLOOKUP(D331,Dienste!C:W,21,)))</f>
        <v/>
      </c>
      <c r="T331" s="18" t="str">
        <f>IF(OR(J331="Krankenstand",J331="Urlaub"),"",IF(J331="","",VLOOKUP(D331,Dienste!C:W,5,)))</f>
        <v/>
      </c>
      <c r="U331" s="18" t="str">
        <f>IF(OR(J331="Krankenstand",J331="Urlaub"),"",IF(J331="","",VLOOKUP(D331,Dienste!C:W,6,)))</f>
        <v/>
      </c>
      <c r="V331" s="18" t="str">
        <f>IF(OR(J331="Krankenstand",J331="Urlaub"),"",IF(J331="","",VLOOKUP(D331,Dienste!C:W,7,)))</f>
        <v/>
      </c>
      <c r="W331" s="18" t="str">
        <f>IF(OR(J331="Krankenstand",J331="Urlaub"),"",IF(J331="","",VLOOKUP(D331,Dienste!C:W,11,)))</f>
        <v/>
      </c>
      <c r="X331" s="18" t="str">
        <f>IF(OR(J331="Krankenstand",J331="Urlaub"),"",IF(J331="","",VLOOKUP(D331,Dienste!C:W,12,)))</f>
        <v/>
      </c>
      <c r="Y331" s="19" t="str">
        <f>IF(OR(J331="Krankenstand",J331="Urlaub"),"",IF(J331="","",VLOOKUP(D331,Dienste!C:W,14,)))</f>
        <v/>
      </c>
      <c r="Z331" s="20" t="str">
        <f>IF(OR(J331="Krankenstand",J331="Urlaub"),"",IF(J331="","",VLOOKUP(D331,Dienste!C:W,15,)))</f>
        <v/>
      </c>
      <c r="AA331" s="124" t="str">
        <f t="shared" si="154"/>
        <v/>
      </c>
      <c r="AB331" s="19" t="str">
        <f t="shared" si="155"/>
        <v/>
      </c>
      <c r="AC331" s="126" t="str">
        <f>_xlfn.CONCAT(_xlfn.CONCAT(IF(I331="","",_xlfn.CONCAT("FT: ",I331,IF(J331="","","; "))),IF(B331&lt;Datenblatt!$B$9,"",IF(B331="","",IF(NOT(J331=""),SUBSTITUTE(SUBSTITUTE(SUBSTITUTE(J331," mR","")," oR","")," O",""),"")))),IF(AF331="","",_xlfn.CONCAT(CHAR(10),"; ",AF331)))</f>
        <v/>
      </c>
      <c r="AD331" s="124" t="str">
        <f t="shared" si="164"/>
        <v/>
      </c>
      <c r="AE331" s="19">
        <f t="shared" si="156"/>
        <v>0</v>
      </c>
      <c r="AF331" s="156"/>
    </row>
    <row r="332" spans="2:32" s="9" customFormat="1" ht="13">
      <c r="B332" s="6">
        <f t="shared" si="157"/>
        <v>44821</v>
      </c>
      <c r="C332" s="45">
        <f>SMALL(Daten!W:W,COUNTIF(Daten!W:W,"&lt;"&amp;Stundenaufzeichnung!B332+1))</f>
        <v>44578</v>
      </c>
      <c r="D332" s="45" t="str">
        <f t="shared" si="152"/>
        <v/>
      </c>
      <c r="E332" s="8">
        <f t="shared" si="153"/>
        <v>1</v>
      </c>
      <c r="F332" s="8">
        <f t="shared" si="158"/>
        <v>6</v>
      </c>
      <c r="G332" s="8">
        <f>IF(B332="","",VLOOKUP(E332,Datenblatt!$L$2:$N$8,3,FALSE))</f>
        <v>0</v>
      </c>
      <c r="H332" s="8" t="str">
        <f t="shared" si="159"/>
        <v/>
      </c>
      <c r="I332" s="11" t="str">
        <f>IFERROR(VLOOKUP(B332,Datenblatt!$E:$F,2,FALSE),"")</f>
        <v/>
      </c>
      <c r="J332" s="113"/>
      <c r="K332" s="19">
        <f>IF(B332&lt;Datenblatt!$B$9,"",IF(B332="","",IF(G332=0,Datenblatt!$B$7,"")))</f>
        <v>6.67</v>
      </c>
      <c r="L332" s="19" t="str">
        <f t="shared" si="160"/>
        <v/>
      </c>
      <c r="M332" s="124" t="str">
        <f t="shared" si="161"/>
        <v/>
      </c>
      <c r="N332" s="124" t="str">
        <f>IF(AND(L332=Datenblatt!$B$7,NOT(L331=Datenblatt!$B$7),NOT(L333=Datenblatt!$B$7)),"y",IF(AND(L332=Datenblatt!$B$7,L333=Datenblatt!$B$7,NOT(L331=Datenblatt!$B$7)),"a",IF(AND(L332=Datenblatt!$B$7,L331=Datenblatt!$B$7,NOT(L333=Datenblatt!$B$7)),"b","")))</f>
        <v/>
      </c>
      <c r="O332" s="19" t="str">
        <f t="shared" si="162"/>
        <v/>
      </c>
      <c r="P332" s="124" t="str">
        <f>IF(AND(M332=Datenblatt!$B$7,NOT(M331=Datenblatt!$B$7),NOT(M333=Datenblatt!$B$7)),"y",IF(AND(M332=Datenblatt!$B$7,M333=Datenblatt!$B$7,NOT(M331=Datenblatt!$B$7)),"a",IF(AND(M332=Datenblatt!$B$7,M331=Datenblatt!$B$7,NOT(M333=Datenblatt!$B$7)),"b","")))</f>
        <v/>
      </c>
      <c r="Q332" s="19" t="str">
        <f t="shared" si="163"/>
        <v/>
      </c>
      <c r="R332" s="124" t="str">
        <f>IF(I332="","",IF(AND(OR(J332="Krankenstand",J332="Urlaub",J332=""), AND(G332=0,NOT(I332=""))),Datenblatt!$B$7,""))</f>
        <v/>
      </c>
      <c r="S332" s="19" t="str">
        <f>IF(OR(J332="Krankenstand",J332="Urlaub"),"",IF(J332="","",VLOOKUP(D332,Dienste!C:W,21,)))</f>
        <v/>
      </c>
      <c r="T332" s="18" t="str">
        <f>IF(OR(J332="Krankenstand",J332="Urlaub"),"",IF(J332="","",VLOOKUP(D332,Dienste!C:W,5,)))</f>
        <v/>
      </c>
      <c r="U332" s="18" t="str">
        <f>IF(OR(J332="Krankenstand",J332="Urlaub"),"",IF(J332="","",VLOOKUP(D332,Dienste!C:W,6,)))</f>
        <v/>
      </c>
      <c r="V332" s="18" t="str">
        <f>IF(OR(J332="Krankenstand",J332="Urlaub"),"",IF(J332="","",VLOOKUP(D332,Dienste!C:W,7,)))</f>
        <v/>
      </c>
      <c r="W332" s="18" t="str">
        <f>IF(OR(J332="Krankenstand",J332="Urlaub"),"",IF(J332="","",VLOOKUP(D332,Dienste!C:W,11,)))</f>
        <v/>
      </c>
      <c r="X332" s="18" t="str">
        <f>IF(OR(J332="Krankenstand",J332="Urlaub"),"",IF(J332="","",VLOOKUP(D332,Dienste!C:W,12,)))</f>
        <v/>
      </c>
      <c r="Y332" s="19" t="str">
        <f>IF(OR(J332="Krankenstand",J332="Urlaub"),"",IF(J332="","",VLOOKUP(D332,Dienste!C:W,14,)))</f>
        <v/>
      </c>
      <c r="Z332" s="20" t="str">
        <f>IF(OR(J332="Krankenstand",J332="Urlaub"),"",IF(J332="","",VLOOKUP(D332,Dienste!C:W,15,)))</f>
        <v/>
      </c>
      <c r="AA332" s="124" t="str">
        <f t="shared" si="154"/>
        <v/>
      </c>
      <c r="AB332" s="19" t="str">
        <f t="shared" si="155"/>
        <v/>
      </c>
      <c r="AC332" s="126" t="str">
        <f>_xlfn.CONCAT(_xlfn.CONCAT(IF(I332="","",_xlfn.CONCAT("FT: ",I332,IF(J332="","","; "))),IF(B332&lt;Datenblatt!$B$9,"",IF(B332="","",IF(NOT(J332=""),SUBSTITUTE(SUBSTITUTE(SUBSTITUTE(J332," mR","")," oR","")," O",""),"")))),IF(AF332="","",_xlfn.CONCAT(CHAR(10),"; ",AF332)))</f>
        <v/>
      </c>
      <c r="AD332" s="124" t="str">
        <f t="shared" si="164"/>
        <v/>
      </c>
      <c r="AE332" s="19">
        <f t="shared" si="156"/>
        <v>0</v>
      </c>
      <c r="AF332" s="156"/>
    </row>
    <row r="333" spans="2:32" s="9" customFormat="1" ht="13">
      <c r="B333" s="6">
        <f t="shared" si="157"/>
        <v>44822</v>
      </c>
      <c r="C333" s="45">
        <f>SMALL(Daten!W:W,COUNTIF(Daten!W:W,"&lt;"&amp;Stundenaufzeichnung!B333+1))</f>
        <v>44578</v>
      </c>
      <c r="D333" s="45" t="str">
        <f t="shared" si="152"/>
        <v/>
      </c>
      <c r="E333" s="8">
        <f t="shared" si="153"/>
        <v>2</v>
      </c>
      <c r="F333" s="8">
        <f t="shared" si="158"/>
        <v>7</v>
      </c>
      <c r="G333" s="8">
        <f>IF(B333="","",VLOOKUP(E333,Datenblatt!$L$2:$N$8,3,FALSE))</f>
        <v>1</v>
      </c>
      <c r="H333" s="8" t="str">
        <f t="shared" si="159"/>
        <v>x</v>
      </c>
      <c r="I333" s="11" t="str">
        <f>IFERROR(VLOOKUP(B333,Datenblatt!$E:$F,2,FALSE),"")</f>
        <v/>
      </c>
      <c r="J333" s="113"/>
      <c r="K333" s="19" t="str">
        <f>IF(B333&lt;Datenblatt!$B$9,"",IF(B333="","",IF(G333=0,Datenblatt!$B$7,"")))</f>
        <v/>
      </c>
      <c r="L333" s="19" t="str">
        <f t="shared" si="160"/>
        <v/>
      </c>
      <c r="M333" s="124" t="str">
        <f t="shared" si="161"/>
        <v/>
      </c>
      <c r="N333" s="124" t="str">
        <f>IF(AND(L333=Datenblatt!$B$7,NOT(L332=Datenblatt!$B$7),NOT(L334=Datenblatt!$B$7)),"y",IF(AND(L333=Datenblatt!$B$7,L334=Datenblatt!$B$7,NOT(L332=Datenblatt!$B$7)),"a",IF(AND(L333=Datenblatt!$B$7,L332=Datenblatt!$B$7,NOT(L334=Datenblatt!$B$7)),"b","")))</f>
        <v/>
      </c>
      <c r="O333" s="19" t="str">
        <f t="shared" si="162"/>
        <v/>
      </c>
      <c r="P333" s="124" t="str">
        <f>IF(AND(M333=Datenblatt!$B$7,NOT(M332=Datenblatt!$B$7),NOT(M334=Datenblatt!$B$7)),"y",IF(AND(M333=Datenblatt!$B$7,M334=Datenblatt!$B$7,NOT(M332=Datenblatt!$B$7)),"a",IF(AND(M333=Datenblatt!$B$7,M332=Datenblatt!$B$7,NOT(M334=Datenblatt!$B$7)),"b","")))</f>
        <v/>
      </c>
      <c r="Q333" s="19" t="str">
        <f t="shared" si="163"/>
        <v/>
      </c>
      <c r="R333" s="124" t="str">
        <f>IF(I333="","",IF(AND(OR(J333="Krankenstand",J333="Urlaub",J333=""), AND(G333=0,NOT(I333=""))),Datenblatt!$B$7,""))</f>
        <v/>
      </c>
      <c r="S333" s="19" t="str">
        <f>IF(OR(J333="Krankenstand",J333="Urlaub"),"",IF(J333="","",VLOOKUP(D333,Dienste!C:W,21,)))</f>
        <v/>
      </c>
      <c r="T333" s="18" t="str">
        <f>IF(OR(J333="Krankenstand",J333="Urlaub"),"",IF(J333="","",VLOOKUP(D333,Dienste!C:W,5,)))</f>
        <v/>
      </c>
      <c r="U333" s="18" t="str">
        <f>IF(OR(J333="Krankenstand",J333="Urlaub"),"",IF(J333="","",VLOOKUP(D333,Dienste!C:W,6,)))</f>
        <v/>
      </c>
      <c r="V333" s="18" t="str">
        <f>IF(OR(J333="Krankenstand",J333="Urlaub"),"",IF(J333="","",VLOOKUP(D333,Dienste!C:W,7,)))</f>
        <v/>
      </c>
      <c r="W333" s="18" t="str">
        <f>IF(OR(J333="Krankenstand",J333="Urlaub"),"",IF(J333="","",VLOOKUP(D333,Dienste!C:W,11,)))</f>
        <v/>
      </c>
      <c r="X333" s="18" t="str">
        <f>IF(OR(J333="Krankenstand",J333="Urlaub"),"",IF(J333="","",VLOOKUP(D333,Dienste!C:W,12,)))</f>
        <v/>
      </c>
      <c r="Y333" s="19" t="str">
        <f>IF(OR(J333="Krankenstand",J333="Urlaub"),"",IF(J333="","",VLOOKUP(D333,Dienste!C:W,14,)))</f>
        <v/>
      </c>
      <c r="Z333" s="20" t="str">
        <f>IF(OR(J333="Krankenstand",J333="Urlaub"),"",IF(J333="","",VLOOKUP(D333,Dienste!C:W,15,)))</f>
        <v/>
      </c>
      <c r="AA333" s="124" t="str">
        <f t="shared" si="154"/>
        <v/>
      </c>
      <c r="AB333" s="19" t="str">
        <f t="shared" si="155"/>
        <v/>
      </c>
      <c r="AC333" s="126" t="str">
        <f>_xlfn.CONCAT(_xlfn.CONCAT(IF(I333="","",_xlfn.CONCAT("FT: ",I333,IF(J333="","","; "))),IF(B333&lt;Datenblatt!$B$9,"",IF(B333="","",IF(NOT(J333=""),SUBSTITUTE(SUBSTITUTE(SUBSTITUTE(J333," mR","")," oR","")," O",""),"")))),IF(AF333="","",_xlfn.CONCAT(CHAR(10),"; ",AF333)))</f>
        <v/>
      </c>
      <c r="AD333" s="124" t="str">
        <f t="shared" si="164"/>
        <v/>
      </c>
      <c r="AE333" s="19">
        <f t="shared" si="156"/>
        <v>0</v>
      </c>
      <c r="AF333" s="156"/>
    </row>
    <row r="334" spans="2:32" s="9" customFormat="1" ht="13">
      <c r="B334" s="6">
        <f t="shared" si="157"/>
        <v>44823</v>
      </c>
      <c r="C334" s="45">
        <f>SMALL(Daten!W:W,COUNTIF(Daten!W:W,"&lt;"&amp;Stundenaufzeichnung!B334+1))</f>
        <v>44578</v>
      </c>
      <c r="D334" s="45" t="str">
        <f t="shared" si="152"/>
        <v/>
      </c>
      <c r="E334" s="8">
        <f t="shared" si="153"/>
        <v>3</v>
      </c>
      <c r="F334" s="8">
        <f t="shared" si="158"/>
        <v>1</v>
      </c>
      <c r="G334" s="8">
        <f>IF(B334="","",VLOOKUP(E334,Datenblatt!$L$2:$N$8,3,FALSE))</f>
        <v>0</v>
      </c>
      <c r="H334" s="8" t="str">
        <f t="shared" si="159"/>
        <v/>
      </c>
      <c r="I334" s="11" t="str">
        <f>IFERROR(VLOOKUP(B334,Datenblatt!$E:$F,2,FALSE),"")</f>
        <v/>
      </c>
      <c r="J334" s="113"/>
      <c r="K334" s="19">
        <f>IF(B334&lt;Datenblatt!$B$9,"",IF(B334="","",IF(G334=0,Datenblatt!$B$7,"")))</f>
        <v>6.67</v>
      </c>
      <c r="L334" s="19" t="str">
        <f t="shared" si="160"/>
        <v/>
      </c>
      <c r="M334" s="124" t="str">
        <f t="shared" si="161"/>
        <v/>
      </c>
      <c r="N334" s="124" t="str">
        <f>IF(AND(L334=Datenblatt!$B$7,NOT(L333=Datenblatt!$B$7),NOT(L335=Datenblatt!$B$7)),"y",IF(AND(L334=Datenblatt!$B$7,L335=Datenblatt!$B$7,NOT(L333=Datenblatt!$B$7)),"a",IF(AND(L334=Datenblatt!$B$7,L333=Datenblatt!$B$7,NOT(L335=Datenblatt!$B$7)),"b","")))</f>
        <v/>
      </c>
      <c r="O334" s="19" t="str">
        <f t="shared" si="162"/>
        <v/>
      </c>
      <c r="P334" s="124" t="str">
        <f>IF(AND(M334=Datenblatt!$B$7,NOT(M333=Datenblatt!$B$7),NOT(M335=Datenblatt!$B$7)),"y",IF(AND(M334=Datenblatt!$B$7,M335=Datenblatt!$B$7,NOT(M333=Datenblatt!$B$7)),"a",IF(AND(M334=Datenblatt!$B$7,M333=Datenblatt!$B$7,NOT(M335=Datenblatt!$B$7)),"b","")))</f>
        <v/>
      </c>
      <c r="Q334" s="19" t="str">
        <f t="shared" si="163"/>
        <v/>
      </c>
      <c r="R334" s="124" t="str">
        <f>IF(I334="","",IF(AND(OR(J334="Krankenstand",J334="Urlaub",J334=""), AND(G334=0,NOT(I334=""))),Datenblatt!$B$7,""))</f>
        <v/>
      </c>
      <c r="S334" s="19" t="str">
        <f>IF(OR(J334="Krankenstand",J334="Urlaub"),"",IF(J334="","",VLOOKUP(D334,Dienste!C:W,21,)))</f>
        <v/>
      </c>
      <c r="T334" s="18" t="str">
        <f>IF(OR(J334="Krankenstand",J334="Urlaub"),"",IF(J334="","",VLOOKUP(D334,Dienste!C:W,5,)))</f>
        <v/>
      </c>
      <c r="U334" s="18" t="str">
        <f>IF(OR(J334="Krankenstand",J334="Urlaub"),"",IF(J334="","",VLOOKUP(D334,Dienste!C:W,6,)))</f>
        <v/>
      </c>
      <c r="V334" s="18" t="str">
        <f>IF(OR(J334="Krankenstand",J334="Urlaub"),"",IF(J334="","",VLOOKUP(D334,Dienste!C:W,7,)))</f>
        <v/>
      </c>
      <c r="W334" s="18" t="str">
        <f>IF(OR(J334="Krankenstand",J334="Urlaub"),"",IF(J334="","",VLOOKUP(D334,Dienste!C:W,11,)))</f>
        <v/>
      </c>
      <c r="X334" s="18" t="str">
        <f>IF(OR(J334="Krankenstand",J334="Urlaub"),"",IF(J334="","",VLOOKUP(D334,Dienste!C:W,12,)))</f>
        <v/>
      </c>
      <c r="Y334" s="19" t="str">
        <f>IF(OR(J334="Krankenstand",J334="Urlaub"),"",IF(J334="","",VLOOKUP(D334,Dienste!C:W,14,)))</f>
        <v/>
      </c>
      <c r="Z334" s="20" t="str">
        <f>IF(OR(J334="Krankenstand",J334="Urlaub"),"",IF(J334="","",VLOOKUP(D334,Dienste!C:W,15,)))</f>
        <v/>
      </c>
      <c r="AA334" s="124" t="str">
        <f t="shared" si="154"/>
        <v/>
      </c>
      <c r="AB334" s="19" t="str">
        <f t="shared" si="155"/>
        <v/>
      </c>
      <c r="AC334" s="126" t="str">
        <f>_xlfn.CONCAT(_xlfn.CONCAT(IF(I334="","",_xlfn.CONCAT("FT: ",I334,IF(J334="","","; "))),IF(B334&lt;Datenblatt!$B$9,"",IF(B334="","",IF(NOT(J334=""),SUBSTITUTE(SUBSTITUTE(SUBSTITUTE(J334," mR","")," oR","")," O",""),"")))),IF(AF334="","",_xlfn.CONCAT(CHAR(10),"; ",AF334)))</f>
        <v/>
      </c>
      <c r="AD334" s="124" t="str">
        <f t="shared" si="164"/>
        <v/>
      </c>
      <c r="AE334" s="19">
        <f t="shared" si="156"/>
        <v>0</v>
      </c>
      <c r="AF334" s="156"/>
    </row>
    <row r="335" spans="2:32" s="9" customFormat="1" ht="13">
      <c r="B335" s="6">
        <f t="shared" si="157"/>
        <v>44824</v>
      </c>
      <c r="C335" s="45">
        <f>SMALL(Daten!W:W,COUNTIF(Daten!W:W,"&lt;"&amp;Stundenaufzeichnung!B335+1))</f>
        <v>44578</v>
      </c>
      <c r="D335" s="45" t="str">
        <f t="shared" si="152"/>
        <v/>
      </c>
      <c r="E335" s="8">
        <f t="shared" si="153"/>
        <v>4</v>
      </c>
      <c r="F335" s="8">
        <f t="shared" si="158"/>
        <v>2</v>
      </c>
      <c r="G335" s="8">
        <f>IF(B335="","",VLOOKUP(E335,Datenblatt!$L$2:$N$8,3,FALSE))</f>
        <v>0</v>
      </c>
      <c r="H335" s="8" t="str">
        <f t="shared" si="159"/>
        <v/>
      </c>
      <c r="I335" s="11" t="str">
        <f>IFERROR(VLOOKUP(B335,Datenblatt!$E:$F,2,FALSE),"")</f>
        <v/>
      </c>
      <c r="J335" s="113"/>
      <c r="K335" s="19">
        <f>IF(B335&lt;Datenblatt!$B$9,"",IF(B335="","",IF(G335=0,Datenblatt!$B$7,"")))</f>
        <v>6.67</v>
      </c>
      <c r="L335" s="19" t="str">
        <f t="shared" si="160"/>
        <v/>
      </c>
      <c r="M335" s="124" t="str">
        <f t="shared" si="161"/>
        <v/>
      </c>
      <c r="N335" s="124" t="str">
        <f>IF(AND(L335=Datenblatt!$B$7,NOT(L334=Datenblatt!$B$7),NOT(L336=Datenblatt!$B$7)),"y",IF(AND(L335=Datenblatt!$B$7,L336=Datenblatt!$B$7,NOT(L334=Datenblatt!$B$7)),"a",IF(AND(L335=Datenblatt!$B$7,L334=Datenblatt!$B$7,NOT(L336=Datenblatt!$B$7)),"b","")))</f>
        <v/>
      </c>
      <c r="O335" s="19" t="str">
        <f t="shared" si="162"/>
        <v/>
      </c>
      <c r="P335" s="124" t="str">
        <f>IF(AND(M335=Datenblatt!$B$7,NOT(M334=Datenblatt!$B$7),NOT(M336=Datenblatt!$B$7)),"y",IF(AND(M335=Datenblatt!$B$7,M336=Datenblatt!$B$7,NOT(M334=Datenblatt!$B$7)),"a",IF(AND(M335=Datenblatt!$B$7,M334=Datenblatt!$B$7,NOT(M336=Datenblatt!$B$7)),"b","")))</f>
        <v/>
      </c>
      <c r="Q335" s="19" t="str">
        <f t="shared" si="163"/>
        <v/>
      </c>
      <c r="R335" s="124" t="str">
        <f>IF(I335="","",IF(AND(OR(J335="Krankenstand",J335="Urlaub",J335=""), AND(G335=0,NOT(I335=""))),Datenblatt!$B$7,""))</f>
        <v/>
      </c>
      <c r="S335" s="19" t="str">
        <f>IF(OR(J335="Krankenstand",J335="Urlaub"),"",IF(J335="","",VLOOKUP(D335,Dienste!C:W,21,)))</f>
        <v/>
      </c>
      <c r="T335" s="18" t="str">
        <f>IF(OR(J335="Krankenstand",J335="Urlaub"),"",IF(J335="","",VLOOKUP(D335,Dienste!C:W,5,)))</f>
        <v/>
      </c>
      <c r="U335" s="18" t="str">
        <f>IF(OR(J335="Krankenstand",J335="Urlaub"),"",IF(J335="","",VLOOKUP(D335,Dienste!C:W,6,)))</f>
        <v/>
      </c>
      <c r="V335" s="18" t="str">
        <f>IF(OR(J335="Krankenstand",J335="Urlaub"),"",IF(J335="","",VLOOKUP(D335,Dienste!C:W,7,)))</f>
        <v/>
      </c>
      <c r="W335" s="18" t="str">
        <f>IF(OR(J335="Krankenstand",J335="Urlaub"),"",IF(J335="","",VLOOKUP(D335,Dienste!C:W,11,)))</f>
        <v/>
      </c>
      <c r="X335" s="18" t="str">
        <f>IF(OR(J335="Krankenstand",J335="Urlaub"),"",IF(J335="","",VLOOKUP(D335,Dienste!C:W,12,)))</f>
        <v/>
      </c>
      <c r="Y335" s="19" t="str">
        <f>IF(OR(J335="Krankenstand",J335="Urlaub"),"",IF(J335="","",VLOOKUP(D335,Dienste!C:W,14,)))</f>
        <v/>
      </c>
      <c r="Z335" s="20" t="str">
        <f>IF(OR(J335="Krankenstand",J335="Urlaub"),"",IF(J335="","",VLOOKUP(D335,Dienste!C:W,15,)))</f>
        <v/>
      </c>
      <c r="AA335" s="124" t="str">
        <f t="shared" si="154"/>
        <v/>
      </c>
      <c r="AB335" s="19" t="str">
        <f t="shared" si="155"/>
        <v/>
      </c>
      <c r="AC335" s="126" t="str">
        <f>_xlfn.CONCAT(_xlfn.CONCAT(IF(I335="","",_xlfn.CONCAT("FT: ",I335,IF(J335="","","; "))),IF(B335&lt;Datenblatt!$B$9,"",IF(B335="","",IF(NOT(J335=""),SUBSTITUTE(SUBSTITUTE(SUBSTITUTE(J335," mR","")," oR","")," O",""),"")))),IF(AF335="","",_xlfn.CONCAT(CHAR(10),"; ",AF335)))</f>
        <v/>
      </c>
      <c r="AD335" s="124" t="str">
        <f t="shared" si="164"/>
        <v/>
      </c>
      <c r="AE335" s="19">
        <f t="shared" si="156"/>
        <v>0</v>
      </c>
      <c r="AF335" s="156"/>
    </row>
    <row r="336" spans="2:32" s="9" customFormat="1" ht="13">
      <c r="B336" s="6">
        <f t="shared" si="157"/>
        <v>44825</v>
      </c>
      <c r="C336" s="45">
        <f>SMALL(Daten!W:W,COUNTIF(Daten!W:W,"&lt;"&amp;Stundenaufzeichnung!B336+1))</f>
        <v>44578</v>
      </c>
      <c r="D336" s="45" t="str">
        <f t="shared" si="152"/>
        <v/>
      </c>
      <c r="E336" s="8">
        <f t="shared" si="153"/>
        <v>5</v>
      </c>
      <c r="F336" s="8">
        <f t="shared" si="158"/>
        <v>3</v>
      </c>
      <c r="G336" s="8">
        <f>IF(B336="","",VLOOKUP(E336,Datenblatt!$L$2:$N$8,3,FALSE))</f>
        <v>0</v>
      </c>
      <c r="H336" s="8" t="str">
        <f t="shared" si="159"/>
        <v/>
      </c>
      <c r="I336" s="11" t="str">
        <f>IFERROR(VLOOKUP(B336,Datenblatt!$E:$F,2,FALSE),"")</f>
        <v/>
      </c>
      <c r="J336" s="113"/>
      <c r="K336" s="19">
        <f>IF(B336&lt;Datenblatt!$B$9,"",IF(B336="","",IF(G336=0,Datenblatt!$B$7,"")))</f>
        <v>6.67</v>
      </c>
      <c r="L336" s="19" t="str">
        <f t="shared" si="160"/>
        <v/>
      </c>
      <c r="M336" s="124" t="str">
        <f t="shared" si="161"/>
        <v/>
      </c>
      <c r="N336" s="124" t="str">
        <f>IF(AND(L336=Datenblatt!$B$7,NOT(L335=Datenblatt!$B$7),NOT(L337=Datenblatt!$B$7)),"y",IF(AND(L336=Datenblatt!$B$7,L337=Datenblatt!$B$7,NOT(L335=Datenblatt!$B$7)),"a",IF(AND(L336=Datenblatt!$B$7,L335=Datenblatt!$B$7,NOT(L337=Datenblatt!$B$7)),"b","")))</f>
        <v/>
      </c>
      <c r="O336" s="19" t="str">
        <f t="shared" si="162"/>
        <v/>
      </c>
      <c r="P336" s="124" t="str">
        <f>IF(AND(M336=Datenblatt!$B$7,NOT(M335=Datenblatt!$B$7),NOT(M337=Datenblatt!$B$7)),"y",IF(AND(M336=Datenblatt!$B$7,M337=Datenblatt!$B$7,NOT(M335=Datenblatt!$B$7)),"a",IF(AND(M336=Datenblatt!$B$7,M335=Datenblatt!$B$7,NOT(M337=Datenblatt!$B$7)),"b","")))</f>
        <v/>
      </c>
      <c r="Q336" s="19" t="str">
        <f t="shared" si="163"/>
        <v/>
      </c>
      <c r="R336" s="124" t="str">
        <f>IF(I336="","",IF(AND(OR(J336="Krankenstand",J336="Urlaub",J336=""), AND(G336=0,NOT(I336=""))),Datenblatt!$B$7,""))</f>
        <v/>
      </c>
      <c r="S336" s="19" t="str">
        <f>IF(OR(J336="Krankenstand",J336="Urlaub"),"",IF(J336="","",VLOOKUP(D336,Dienste!C:W,21,)))</f>
        <v/>
      </c>
      <c r="T336" s="18" t="str">
        <f>IF(OR(J336="Krankenstand",J336="Urlaub"),"",IF(J336="","",VLOOKUP(D336,Dienste!C:W,5,)))</f>
        <v/>
      </c>
      <c r="U336" s="18" t="str">
        <f>IF(OR(J336="Krankenstand",J336="Urlaub"),"",IF(J336="","",VLOOKUP(D336,Dienste!C:W,6,)))</f>
        <v/>
      </c>
      <c r="V336" s="18" t="str">
        <f>IF(OR(J336="Krankenstand",J336="Urlaub"),"",IF(J336="","",VLOOKUP(D336,Dienste!C:W,7,)))</f>
        <v/>
      </c>
      <c r="W336" s="18" t="str">
        <f>IF(OR(J336="Krankenstand",J336="Urlaub"),"",IF(J336="","",VLOOKUP(D336,Dienste!C:W,11,)))</f>
        <v/>
      </c>
      <c r="X336" s="18" t="str">
        <f>IF(OR(J336="Krankenstand",J336="Urlaub"),"",IF(J336="","",VLOOKUP(D336,Dienste!C:W,12,)))</f>
        <v/>
      </c>
      <c r="Y336" s="19" t="str">
        <f>IF(OR(J336="Krankenstand",J336="Urlaub"),"",IF(J336="","",VLOOKUP(D336,Dienste!C:W,14,)))</f>
        <v/>
      </c>
      <c r="Z336" s="20" t="str">
        <f>IF(OR(J336="Krankenstand",J336="Urlaub"),"",IF(J336="","",VLOOKUP(D336,Dienste!C:W,15,)))</f>
        <v/>
      </c>
      <c r="AA336" s="124" t="str">
        <f t="shared" si="154"/>
        <v/>
      </c>
      <c r="AB336" s="19" t="str">
        <f t="shared" si="155"/>
        <v/>
      </c>
      <c r="AC336" s="126" t="str">
        <f>_xlfn.CONCAT(_xlfn.CONCAT(IF(I336="","",_xlfn.CONCAT("FT: ",I336,IF(J336="","","; "))),IF(B336&lt;Datenblatt!$B$9,"",IF(B336="","",IF(NOT(J336=""),SUBSTITUTE(SUBSTITUTE(SUBSTITUTE(J336," mR","")," oR","")," O",""),"")))),IF(AF336="","",_xlfn.CONCAT(CHAR(10),"; ",AF336)))</f>
        <v/>
      </c>
      <c r="AD336" s="124" t="str">
        <f t="shared" si="164"/>
        <v/>
      </c>
      <c r="AE336" s="19">
        <f t="shared" si="156"/>
        <v>0</v>
      </c>
      <c r="AF336" s="156"/>
    </row>
    <row r="337" spans="1:32" s="9" customFormat="1" ht="13">
      <c r="B337" s="6">
        <f t="shared" si="157"/>
        <v>44826</v>
      </c>
      <c r="C337" s="45">
        <f>SMALL(Daten!W:W,COUNTIF(Daten!W:W,"&lt;"&amp;Stundenaufzeichnung!B337+1))</f>
        <v>44578</v>
      </c>
      <c r="D337" s="45" t="str">
        <f t="shared" si="152"/>
        <v/>
      </c>
      <c r="E337" s="8">
        <f t="shared" si="153"/>
        <v>6</v>
      </c>
      <c r="F337" s="8">
        <f t="shared" si="158"/>
        <v>4</v>
      </c>
      <c r="G337" s="8">
        <f>IF(B337="","",VLOOKUP(E337,Datenblatt!$L$2:$N$8,3,FALSE))</f>
        <v>0</v>
      </c>
      <c r="H337" s="8" t="str">
        <f t="shared" si="159"/>
        <v/>
      </c>
      <c r="I337" s="11" t="str">
        <f>IFERROR(VLOOKUP(B337,Datenblatt!$E:$F,2,FALSE),"")</f>
        <v/>
      </c>
      <c r="J337" s="113"/>
      <c r="K337" s="19">
        <f>IF(B337&lt;Datenblatt!$B$9,"",IF(B337="","",IF(G337=0,Datenblatt!$B$7,"")))</f>
        <v>6.67</v>
      </c>
      <c r="L337" s="19" t="str">
        <f t="shared" si="160"/>
        <v/>
      </c>
      <c r="M337" s="124" t="str">
        <f t="shared" si="161"/>
        <v/>
      </c>
      <c r="N337" s="124" t="str">
        <f>IF(AND(L337=Datenblatt!$B$7,NOT(L336=Datenblatt!$B$7),NOT(L338=Datenblatt!$B$7)),"y",IF(AND(L337=Datenblatt!$B$7,L338=Datenblatt!$B$7,NOT(L336=Datenblatt!$B$7)),"a",IF(AND(L337=Datenblatt!$B$7,L336=Datenblatt!$B$7,NOT(L338=Datenblatt!$B$7)),"b","")))</f>
        <v/>
      </c>
      <c r="O337" s="19" t="str">
        <f t="shared" si="162"/>
        <v/>
      </c>
      <c r="P337" s="124" t="str">
        <f>IF(AND(M337=Datenblatt!$B$7,NOT(M336=Datenblatt!$B$7),NOT(M338=Datenblatt!$B$7)),"y",IF(AND(M337=Datenblatt!$B$7,M338=Datenblatt!$B$7,NOT(M336=Datenblatt!$B$7)),"a",IF(AND(M337=Datenblatt!$B$7,M336=Datenblatt!$B$7,NOT(M338=Datenblatt!$B$7)),"b","")))</f>
        <v/>
      </c>
      <c r="Q337" s="19" t="str">
        <f t="shared" si="163"/>
        <v/>
      </c>
      <c r="R337" s="124" t="str">
        <f>IF(I337="","",IF(AND(OR(J337="Krankenstand",J337="Urlaub",J337=""), AND(G337=0,NOT(I337=""))),Datenblatt!$B$7,""))</f>
        <v/>
      </c>
      <c r="S337" s="19" t="str">
        <f>IF(OR(J337="Krankenstand",J337="Urlaub"),"",IF(J337="","",VLOOKUP(D337,Dienste!C:W,21,)))</f>
        <v/>
      </c>
      <c r="T337" s="18" t="str">
        <f>IF(OR(J337="Krankenstand",J337="Urlaub"),"",IF(J337="","",VLOOKUP(D337,Dienste!C:W,5,)))</f>
        <v/>
      </c>
      <c r="U337" s="18" t="str">
        <f>IF(OR(J337="Krankenstand",J337="Urlaub"),"",IF(J337="","",VLOOKUP(D337,Dienste!C:W,6,)))</f>
        <v/>
      </c>
      <c r="V337" s="18" t="str">
        <f>IF(OR(J337="Krankenstand",J337="Urlaub"),"",IF(J337="","",VLOOKUP(D337,Dienste!C:W,7,)))</f>
        <v/>
      </c>
      <c r="W337" s="18" t="str">
        <f>IF(OR(J337="Krankenstand",J337="Urlaub"),"",IF(J337="","",VLOOKUP(D337,Dienste!C:W,11,)))</f>
        <v/>
      </c>
      <c r="X337" s="18" t="str">
        <f>IF(OR(J337="Krankenstand",J337="Urlaub"),"",IF(J337="","",VLOOKUP(D337,Dienste!C:W,12,)))</f>
        <v/>
      </c>
      <c r="Y337" s="19" t="str">
        <f>IF(OR(J337="Krankenstand",J337="Urlaub"),"",IF(J337="","",VLOOKUP(D337,Dienste!C:W,14,)))</f>
        <v/>
      </c>
      <c r="Z337" s="20" t="str">
        <f>IF(OR(J337="Krankenstand",J337="Urlaub"),"",IF(J337="","",VLOOKUP(D337,Dienste!C:W,15,)))</f>
        <v/>
      </c>
      <c r="AA337" s="124" t="str">
        <f t="shared" si="154"/>
        <v/>
      </c>
      <c r="AB337" s="19" t="str">
        <f t="shared" si="155"/>
        <v/>
      </c>
      <c r="AC337" s="126" t="str">
        <f>_xlfn.CONCAT(_xlfn.CONCAT(IF(I337="","",_xlfn.CONCAT("FT: ",I337,IF(J337="","","; "))),IF(B337&lt;Datenblatt!$B$9,"",IF(B337="","",IF(NOT(J337=""),SUBSTITUTE(SUBSTITUTE(SUBSTITUTE(J337," mR","")," oR","")," O",""),"")))),IF(AF337="","",_xlfn.CONCAT(CHAR(10),"; ",AF337)))</f>
        <v/>
      </c>
      <c r="AD337" s="124" t="str">
        <f t="shared" si="164"/>
        <v/>
      </c>
      <c r="AE337" s="19">
        <f t="shared" si="156"/>
        <v>0</v>
      </c>
      <c r="AF337" s="156"/>
    </row>
    <row r="338" spans="1:32" s="9" customFormat="1" ht="13">
      <c r="B338" s="6">
        <f t="shared" si="157"/>
        <v>44827</v>
      </c>
      <c r="C338" s="45">
        <f>SMALL(Daten!W:W,COUNTIF(Daten!W:W,"&lt;"&amp;Stundenaufzeichnung!B338+1))</f>
        <v>44578</v>
      </c>
      <c r="D338" s="45" t="str">
        <f t="shared" si="152"/>
        <v/>
      </c>
      <c r="E338" s="8">
        <f t="shared" si="153"/>
        <v>7</v>
      </c>
      <c r="F338" s="8">
        <f t="shared" si="158"/>
        <v>5</v>
      </c>
      <c r="G338" s="8">
        <f>IF(B338="","",VLOOKUP(E338,Datenblatt!$L$2:$N$8,3,FALSE))</f>
        <v>0</v>
      </c>
      <c r="H338" s="8" t="str">
        <f t="shared" si="159"/>
        <v/>
      </c>
      <c r="I338" s="11" t="str">
        <f>IFERROR(VLOOKUP(B338,Datenblatt!$E:$F,2,FALSE),"")</f>
        <v/>
      </c>
      <c r="J338" s="113"/>
      <c r="K338" s="19">
        <f>IF(B338&lt;Datenblatt!$B$9,"",IF(B338="","",IF(G338=0,Datenblatt!$B$7,"")))</f>
        <v>6.67</v>
      </c>
      <c r="L338" s="19" t="str">
        <f t="shared" si="160"/>
        <v/>
      </c>
      <c r="M338" s="124" t="str">
        <f t="shared" si="161"/>
        <v/>
      </c>
      <c r="N338" s="124" t="str">
        <f>IF(AND(L338=Datenblatt!$B$7,NOT(L337=Datenblatt!$B$7),NOT(L339=Datenblatt!$B$7)),"y",IF(AND(L338=Datenblatt!$B$7,L339=Datenblatt!$B$7,NOT(L337=Datenblatt!$B$7)),"a",IF(AND(L338=Datenblatt!$B$7,L337=Datenblatt!$B$7,NOT(L339=Datenblatt!$B$7)),"b","")))</f>
        <v/>
      </c>
      <c r="O338" s="19" t="str">
        <f t="shared" si="162"/>
        <v/>
      </c>
      <c r="P338" s="124" t="str">
        <f>IF(AND(M338=Datenblatt!$B$7,NOT(M337=Datenblatt!$B$7),NOT(M339=Datenblatt!$B$7)),"y",IF(AND(M338=Datenblatt!$B$7,M339=Datenblatt!$B$7,NOT(M337=Datenblatt!$B$7)),"a",IF(AND(M338=Datenblatt!$B$7,M337=Datenblatt!$B$7,NOT(M339=Datenblatt!$B$7)),"b","")))</f>
        <v/>
      </c>
      <c r="Q338" s="19" t="str">
        <f t="shared" si="163"/>
        <v/>
      </c>
      <c r="R338" s="124" t="str">
        <f>IF(I338="","",IF(AND(OR(J338="Krankenstand",J338="Urlaub",J338=""), AND(G338=0,NOT(I338=""))),Datenblatt!$B$7,""))</f>
        <v/>
      </c>
      <c r="S338" s="19" t="str">
        <f>IF(OR(J338="Krankenstand",J338="Urlaub"),"",IF(J338="","",VLOOKUP(D338,Dienste!C:W,21,)))</f>
        <v/>
      </c>
      <c r="T338" s="18" t="str">
        <f>IF(OR(J338="Krankenstand",J338="Urlaub"),"",IF(J338="","",VLOOKUP(D338,Dienste!C:W,5,)))</f>
        <v/>
      </c>
      <c r="U338" s="18" t="str">
        <f>IF(OR(J338="Krankenstand",J338="Urlaub"),"",IF(J338="","",VLOOKUP(D338,Dienste!C:W,6,)))</f>
        <v/>
      </c>
      <c r="V338" s="18" t="str">
        <f>IF(OR(J338="Krankenstand",J338="Urlaub"),"",IF(J338="","",VLOOKUP(D338,Dienste!C:W,7,)))</f>
        <v/>
      </c>
      <c r="W338" s="18" t="str">
        <f>IF(OR(J338="Krankenstand",J338="Urlaub"),"",IF(J338="","",VLOOKUP(D338,Dienste!C:W,11,)))</f>
        <v/>
      </c>
      <c r="X338" s="18" t="str">
        <f>IF(OR(J338="Krankenstand",J338="Urlaub"),"",IF(J338="","",VLOOKUP(D338,Dienste!C:W,12,)))</f>
        <v/>
      </c>
      <c r="Y338" s="19" t="str">
        <f>IF(OR(J338="Krankenstand",J338="Urlaub"),"",IF(J338="","",VLOOKUP(D338,Dienste!C:W,14,)))</f>
        <v/>
      </c>
      <c r="Z338" s="20" t="str">
        <f>IF(OR(J338="Krankenstand",J338="Urlaub"),"",IF(J338="","",VLOOKUP(D338,Dienste!C:W,15,)))</f>
        <v/>
      </c>
      <c r="AA338" s="124" t="str">
        <f t="shared" si="154"/>
        <v/>
      </c>
      <c r="AB338" s="19" t="str">
        <f t="shared" si="155"/>
        <v/>
      </c>
      <c r="AC338" s="126" t="str">
        <f>_xlfn.CONCAT(_xlfn.CONCAT(IF(I338="","",_xlfn.CONCAT("FT: ",I338,IF(J338="","","; "))),IF(B338&lt;Datenblatt!$B$9,"",IF(B338="","",IF(NOT(J338=""),SUBSTITUTE(SUBSTITUTE(SUBSTITUTE(J338," mR","")," oR","")," O",""),"")))),IF(AF338="","",_xlfn.CONCAT(CHAR(10),"; ",AF338)))</f>
        <v/>
      </c>
      <c r="AD338" s="124" t="str">
        <f t="shared" si="164"/>
        <v/>
      </c>
      <c r="AE338" s="19">
        <f t="shared" si="156"/>
        <v>0</v>
      </c>
      <c r="AF338" s="156"/>
    </row>
    <row r="339" spans="1:32" s="9" customFormat="1" ht="13">
      <c r="B339" s="6">
        <f t="shared" si="157"/>
        <v>44828</v>
      </c>
      <c r="C339" s="45">
        <f>SMALL(Daten!W:W,COUNTIF(Daten!W:W,"&lt;"&amp;Stundenaufzeichnung!B339+1))</f>
        <v>44578</v>
      </c>
      <c r="D339" s="45" t="str">
        <f t="shared" si="152"/>
        <v/>
      </c>
      <c r="E339" s="8">
        <f t="shared" si="153"/>
        <v>1</v>
      </c>
      <c r="F339" s="8">
        <f t="shared" si="158"/>
        <v>6</v>
      </c>
      <c r="G339" s="8">
        <f>IF(B339="","",VLOOKUP(E339,Datenblatt!$L$2:$N$8,3,FALSE))</f>
        <v>0</v>
      </c>
      <c r="H339" s="8" t="str">
        <f t="shared" si="159"/>
        <v/>
      </c>
      <c r="I339" s="11" t="str">
        <f>IFERROR(VLOOKUP(B339,Datenblatt!$E:$F,2,FALSE),"")</f>
        <v/>
      </c>
      <c r="J339" s="113"/>
      <c r="K339" s="19">
        <f>IF(B339&lt;Datenblatt!$B$9,"",IF(B339="","",IF(G339=0,Datenblatt!$B$7,"")))</f>
        <v>6.67</v>
      </c>
      <c r="L339" s="19" t="str">
        <f t="shared" si="160"/>
        <v/>
      </c>
      <c r="M339" s="124" t="str">
        <f t="shared" si="161"/>
        <v/>
      </c>
      <c r="N339" s="124" t="str">
        <f>IF(AND(L339=Datenblatt!$B$7,NOT(L338=Datenblatt!$B$7),NOT(L340=Datenblatt!$B$7)),"y",IF(AND(L339=Datenblatt!$B$7,L340=Datenblatt!$B$7,NOT(L338=Datenblatt!$B$7)),"a",IF(AND(L339=Datenblatt!$B$7,L338=Datenblatt!$B$7,NOT(L340=Datenblatt!$B$7)),"b","")))</f>
        <v/>
      </c>
      <c r="O339" s="19" t="str">
        <f t="shared" si="162"/>
        <v/>
      </c>
      <c r="P339" s="124" t="str">
        <f>IF(AND(M339=Datenblatt!$B$7,NOT(M338=Datenblatt!$B$7),NOT(M340=Datenblatt!$B$7)),"y",IF(AND(M339=Datenblatt!$B$7,M340=Datenblatt!$B$7,NOT(M338=Datenblatt!$B$7)),"a",IF(AND(M339=Datenblatt!$B$7,M338=Datenblatt!$B$7,NOT(M340=Datenblatt!$B$7)),"b","")))</f>
        <v/>
      </c>
      <c r="Q339" s="19" t="str">
        <f t="shared" si="163"/>
        <v/>
      </c>
      <c r="R339" s="124" t="str">
        <f>IF(I339="","",IF(AND(OR(J339="Krankenstand",J339="Urlaub",J339=""), AND(G339=0,NOT(I339=""))),Datenblatt!$B$7,""))</f>
        <v/>
      </c>
      <c r="S339" s="19" t="str">
        <f>IF(OR(J339="Krankenstand",J339="Urlaub"),"",IF(J339="","",VLOOKUP(D339,Dienste!C:W,21,)))</f>
        <v/>
      </c>
      <c r="T339" s="18" t="str">
        <f>IF(OR(J339="Krankenstand",J339="Urlaub"),"",IF(J339="","",VLOOKUP(D339,Dienste!C:W,5,)))</f>
        <v/>
      </c>
      <c r="U339" s="18" t="str">
        <f>IF(OR(J339="Krankenstand",J339="Urlaub"),"",IF(J339="","",VLOOKUP(D339,Dienste!C:W,6,)))</f>
        <v/>
      </c>
      <c r="V339" s="18" t="str">
        <f>IF(OR(J339="Krankenstand",J339="Urlaub"),"",IF(J339="","",VLOOKUP(D339,Dienste!C:W,7,)))</f>
        <v/>
      </c>
      <c r="W339" s="18" t="str">
        <f>IF(OR(J339="Krankenstand",J339="Urlaub"),"",IF(J339="","",VLOOKUP(D339,Dienste!C:W,11,)))</f>
        <v/>
      </c>
      <c r="X339" s="18" t="str">
        <f>IF(OR(J339="Krankenstand",J339="Urlaub"),"",IF(J339="","",VLOOKUP(D339,Dienste!C:W,12,)))</f>
        <v/>
      </c>
      <c r="Y339" s="19" t="str">
        <f>IF(OR(J339="Krankenstand",J339="Urlaub"),"",IF(J339="","",VLOOKUP(D339,Dienste!C:W,14,)))</f>
        <v/>
      </c>
      <c r="Z339" s="20" t="str">
        <f>IF(OR(J339="Krankenstand",J339="Urlaub"),"",IF(J339="","",VLOOKUP(D339,Dienste!C:W,15,)))</f>
        <v/>
      </c>
      <c r="AA339" s="124" t="str">
        <f t="shared" si="154"/>
        <v/>
      </c>
      <c r="AB339" s="19" t="str">
        <f t="shared" si="155"/>
        <v/>
      </c>
      <c r="AC339" s="126" t="str">
        <f>_xlfn.CONCAT(_xlfn.CONCAT(IF(I339="","",_xlfn.CONCAT("FT: ",I339,IF(J339="","","; "))),IF(B339&lt;Datenblatt!$B$9,"",IF(B339="","",IF(NOT(J339=""),SUBSTITUTE(SUBSTITUTE(SUBSTITUTE(J339," mR","")," oR","")," O",""),"")))),IF(AF339="","",_xlfn.CONCAT(CHAR(10),"; ",AF339)))</f>
        <v/>
      </c>
      <c r="AD339" s="124" t="str">
        <f t="shared" si="164"/>
        <v/>
      </c>
      <c r="AE339" s="19">
        <f t="shared" si="156"/>
        <v>0</v>
      </c>
      <c r="AF339" s="156"/>
    </row>
    <row r="340" spans="1:32" s="9" customFormat="1" ht="13">
      <c r="B340" s="6">
        <f t="shared" si="157"/>
        <v>44829</v>
      </c>
      <c r="C340" s="45">
        <f>SMALL(Daten!W:W,COUNTIF(Daten!W:W,"&lt;"&amp;Stundenaufzeichnung!B340+1))</f>
        <v>44578</v>
      </c>
      <c r="D340" s="45" t="str">
        <f t="shared" si="152"/>
        <v/>
      </c>
      <c r="E340" s="8">
        <f t="shared" si="153"/>
        <v>2</v>
      </c>
      <c r="F340" s="8">
        <f t="shared" si="158"/>
        <v>7</v>
      </c>
      <c r="G340" s="8">
        <f>IF(B340="","",VLOOKUP(E340,Datenblatt!$L$2:$N$8,3,FALSE))</f>
        <v>1</v>
      </c>
      <c r="H340" s="8" t="str">
        <f t="shared" si="159"/>
        <v>x</v>
      </c>
      <c r="I340" s="11" t="str">
        <f>IFERROR(VLOOKUP(B340,Datenblatt!$E:$F,2,FALSE),"")</f>
        <v/>
      </c>
      <c r="J340" s="113"/>
      <c r="K340" s="19" t="str">
        <f>IF(B340&lt;Datenblatt!$B$9,"",IF(B340="","",IF(G340=0,Datenblatt!$B$7,"")))</f>
        <v/>
      </c>
      <c r="L340" s="19" t="str">
        <f t="shared" si="160"/>
        <v/>
      </c>
      <c r="M340" s="124" t="str">
        <f t="shared" si="161"/>
        <v/>
      </c>
      <c r="N340" s="124" t="str">
        <f>IF(AND(L340=Datenblatt!$B$7,NOT(L339=Datenblatt!$B$7),NOT(L341=Datenblatt!$B$7)),"y",IF(AND(L340=Datenblatt!$B$7,L341=Datenblatt!$B$7,NOT(L339=Datenblatt!$B$7)),"a",IF(AND(L340=Datenblatt!$B$7,L339=Datenblatt!$B$7,NOT(L341=Datenblatt!$B$7)),"b","")))</f>
        <v/>
      </c>
      <c r="O340" s="19" t="str">
        <f t="shared" si="162"/>
        <v/>
      </c>
      <c r="P340" s="124" t="str">
        <f>IF(AND(M340=Datenblatt!$B$7,NOT(M339=Datenblatt!$B$7),NOT(M341=Datenblatt!$B$7)),"y",IF(AND(M340=Datenblatt!$B$7,M341=Datenblatt!$B$7,NOT(M339=Datenblatt!$B$7)),"a",IF(AND(M340=Datenblatt!$B$7,M339=Datenblatt!$B$7,NOT(M341=Datenblatt!$B$7)),"b","")))</f>
        <v/>
      </c>
      <c r="Q340" s="19" t="str">
        <f t="shared" si="163"/>
        <v/>
      </c>
      <c r="R340" s="124" t="str">
        <f>IF(I340="","",IF(AND(OR(J340="Krankenstand",J340="Urlaub",J340=""), AND(G340=0,NOT(I340=""))),Datenblatt!$B$7,""))</f>
        <v/>
      </c>
      <c r="S340" s="19" t="str">
        <f>IF(OR(J340="Krankenstand",J340="Urlaub"),"",IF(J340="","",VLOOKUP(D340,Dienste!C:W,21,)))</f>
        <v/>
      </c>
      <c r="T340" s="18" t="str">
        <f>IF(OR(J340="Krankenstand",J340="Urlaub"),"",IF(J340="","",VLOOKUP(D340,Dienste!C:W,5,)))</f>
        <v/>
      </c>
      <c r="U340" s="18" t="str">
        <f>IF(OR(J340="Krankenstand",J340="Urlaub"),"",IF(J340="","",VLOOKUP(D340,Dienste!C:W,6,)))</f>
        <v/>
      </c>
      <c r="V340" s="18" t="str">
        <f>IF(OR(J340="Krankenstand",J340="Urlaub"),"",IF(J340="","",VLOOKUP(D340,Dienste!C:W,7,)))</f>
        <v/>
      </c>
      <c r="W340" s="18" t="str">
        <f>IF(OR(J340="Krankenstand",J340="Urlaub"),"",IF(J340="","",VLOOKUP(D340,Dienste!C:W,11,)))</f>
        <v/>
      </c>
      <c r="X340" s="18" t="str">
        <f>IF(OR(J340="Krankenstand",J340="Urlaub"),"",IF(J340="","",VLOOKUP(D340,Dienste!C:W,12,)))</f>
        <v/>
      </c>
      <c r="Y340" s="19" t="str">
        <f>IF(OR(J340="Krankenstand",J340="Urlaub"),"",IF(J340="","",VLOOKUP(D340,Dienste!C:W,14,)))</f>
        <v/>
      </c>
      <c r="Z340" s="20" t="str">
        <f>IF(OR(J340="Krankenstand",J340="Urlaub"),"",IF(J340="","",VLOOKUP(D340,Dienste!C:W,15,)))</f>
        <v/>
      </c>
      <c r="AA340" s="124" t="str">
        <f t="shared" si="154"/>
        <v/>
      </c>
      <c r="AB340" s="19" t="str">
        <f t="shared" si="155"/>
        <v/>
      </c>
      <c r="AC340" s="126" t="str">
        <f>_xlfn.CONCAT(_xlfn.CONCAT(IF(I340="","",_xlfn.CONCAT("FT: ",I340,IF(J340="","","; "))),IF(B340&lt;Datenblatt!$B$9,"",IF(B340="","",IF(NOT(J340=""),SUBSTITUTE(SUBSTITUTE(SUBSTITUTE(J340," mR","")," oR","")," O",""),"")))),IF(AF340="","",_xlfn.CONCAT(CHAR(10),"; ",AF340)))</f>
        <v/>
      </c>
      <c r="AD340" s="124" t="str">
        <f t="shared" si="164"/>
        <v/>
      </c>
      <c r="AE340" s="19">
        <f t="shared" si="156"/>
        <v>0</v>
      </c>
      <c r="AF340" s="156"/>
    </row>
    <row r="341" spans="1:32" s="9" customFormat="1" ht="13">
      <c r="B341" s="6">
        <f t="shared" si="157"/>
        <v>44830</v>
      </c>
      <c r="C341" s="45">
        <f>SMALL(Daten!W:W,COUNTIF(Daten!W:W,"&lt;"&amp;Stundenaufzeichnung!B341+1))</f>
        <v>44578</v>
      </c>
      <c r="D341" s="45" t="str">
        <f t="shared" si="152"/>
        <v/>
      </c>
      <c r="E341" s="8">
        <f t="shared" si="153"/>
        <v>3</v>
      </c>
      <c r="F341" s="8">
        <f t="shared" si="158"/>
        <v>1</v>
      </c>
      <c r="G341" s="8">
        <f>IF(B341="","",VLOOKUP(E341,Datenblatt!$L$2:$N$8,3,FALSE))</f>
        <v>0</v>
      </c>
      <c r="H341" s="8" t="str">
        <f t="shared" si="159"/>
        <v/>
      </c>
      <c r="I341" s="11" t="str">
        <f>IFERROR(VLOOKUP(B341,Datenblatt!$E:$F,2,FALSE),"")</f>
        <v/>
      </c>
      <c r="J341" s="113"/>
      <c r="K341" s="19">
        <f>IF(B341&lt;Datenblatt!$B$9,"",IF(B341="","",IF(G341=0,Datenblatt!$B$7,"")))</f>
        <v>6.67</v>
      </c>
      <c r="L341" s="19" t="str">
        <f t="shared" si="160"/>
        <v/>
      </c>
      <c r="M341" s="124" t="str">
        <f t="shared" si="161"/>
        <v/>
      </c>
      <c r="N341" s="124" t="str">
        <f>IF(AND(L341=Datenblatt!$B$7,NOT(L340=Datenblatt!$B$7),NOT(L342=Datenblatt!$B$7)),"y",IF(AND(L341=Datenblatt!$B$7,L342=Datenblatt!$B$7,NOT(L340=Datenblatt!$B$7)),"a",IF(AND(L341=Datenblatt!$B$7,L340=Datenblatt!$B$7,NOT(L342=Datenblatt!$B$7)),"b","")))</f>
        <v/>
      </c>
      <c r="O341" s="19" t="str">
        <f t="shared" si="162"/>
        <v/>
      </c>
      <c r="P341" s="124" t="str">
        <f>IF(AND(M341=Datenblatt!$B$7,NOT(M340=Datenblatt!$B$7),NOT(M342=Datenblatt!$B$7)),"y",IF(AND(M341=Datenblatt!$B$7,M342=Datenblatt!$B$7,NOT(M340=Datenblatt!$B$7)),"a",IF(AND(M341=Datenblatt!$B$7,M340=Datenblatt!$B$7,NOT(M342=Datenblatt!$B$7)),"b","")))</f>
        <v/>
      </c>
      <c r="Q341" s="19" t="str">
        <f t="shared" si="163"/>
        <v/>
      </c>
      <c r="R341" s="124" t="str">
        <f>IF(I341="","",IF(AND(OR(J341="Krankenstand",J341="Urlaub",J341=""), AND(G341=0,NOT(I341=""))),Datenblatt!$B$7,""))</f>
        <v/>
      </c>
      <c r="S341" s="19" t="str">
        <f>IF(OR(J341="Krankenstand",J341="Urlaub"),"",IF(J341="","",VLOOKUP(D341,Dienste!C:W,21,)))</f>
        <v/>
      </c>
      <c r="T341" s="18" t="str">
        <f>IF(OR(J341="Krankenstand",J341="Urlaub"),"",IF(J341="","",VLOOKUP(D341,Dienste!C:W,5,)))</f>
        <v/>
      </c>
      <c r="U341" s="18" t="str">
        <f>IF(OR(J341="Krankenstand",J341="Urlaub"),"",IF(J341="","",VLOOKUP(D341,Dienste!C:W,6,)))</f>
        <v/>
      </c>
      <c r="V341" s="18" t="str">
        <f>IF(OR(J341="Krankenstand",J341="Urlaub"),"",IF(J341="","",VLOOKUP(D341,Dienste!C:W,7,)))</f>
        <v/>
      </c>
      <c r="W341" s="18" t="str">
        <f>IF(OR(J341="Krankenstand",J341="Urlaub"),"",IF(J341="","",VLOOKUP(D341,Dienste!C:W,11,)))</f>
        <v/>
      </c>
      <c r="X341" s="18" t="str">
        <f>IF(OR(J341="Krankenstand",J341="Urlaub"),"",IF(J341="","",VLOOKUP(D341,Dienste!C:W,12,)))</f>
        <v/>
      </c>
      <c r="Y341" s="19" t="str">
        <f>IF(OR(J341="Krankenstand",J341="Urlaub"),"",IF(J341="","",VLOOKUP(D341,Dienste!C:W,14,)))</f>
        <v/>
      </c>
      <c r="Z341" s="20" t="str">
        <f>IF(OR(J341="Krankenstand",J341="Urlaub"),"",IF(J341="","",VLOOKUP(D341,Dienste!C:W,15,)))</f>
        <v/>
      </c>
      <c r="AA341" s="124" t="str">
        <f t="shared" si="154"/>
        <v/>
      </c>
      <c r="AB341" s="19" t="str">
        <f t="shared" si="155"/>
        <v/>
      </c>
      <c r="AC341" s="126" t="str">
        <f>_xlfn.CONCAT(_xlfn.CONCAT(IF(I341="","",_xlfn.CONCAT("FT: ",I341,IF(J341="","","; "))),IF(B341&lt;Datenblatt!$B$9,"",IF(B341="","",IF(NOT(J341=""),SUBSTITUTE(SUBSTITUTE(SUBSTITUTE(J341," mR","")," oR","")," O",""),"")))),IF(AF341="","",_xlfn.CONCAT(CHAR(10),"; ",AF341)))</f>
        <v/>
      </c>
      <c r="AD341" s="124" t="str">
        <f t="shared" si="164"/>
        <v/>
      </c>
      <c r="AE341" s="19">
        <f t="shared" si="156"/>
        <v>0</v>
      </c>
      <c r="AF341" s="156"/>
    </row>
    <row r="342" spans="1:32" s="9" customFormat="1" ht="13">
      <c r="B342" s="6">
        <f t="shared" si="157"/>
        <v>44831</v>
      </c>
      <c r="C342" s="45">
        <f>SMALL(Daten!W:W,COUNTIF(Daten!W:W,"&lt;"&amp;Stundenaufzeichnung!B342+1))</f>
        <v>44578</v>
      </c>
      <c r="D342" s="45" t="str">
        <f t="shared" si="152"/>
        <v/>
      </c>
      <c r="E342" s="8">
        <f t="shared" si="153"/>
        <v>4</v>
      </c>
      <c r="F342" s="8">
        <f t="shared" si="158"/>
        <v>2</v>
      </c>
      <c r="G342" s="8">
        <f>IF(B342="","",VLOOKUP(E342,Datenblatt!$L$2:$N$8,3,FALSE))</f>
        <v>0</v>
      </c>
      <c r="H342" s="8" t="str">
        <f t="shared" si="159"/>
        <v/>
      </c>
      <c r="I342" s="11" t="str">
        <f>IFERROR(VLOOKUP(B342,Datenblatt!$E:$F,2,FALSE),"")</f>
        <v/>
      </c>
      <c r="J342" s="113"/>
      <c r="K342" s="19">
        <f>IF(B342&lt;Datenblatt!$B$9,"",IF(B342="","",IF(G342=0,Datenblatt!$B$7,"")))</f>
        <v>6.67</v>
      </c>
      <c r="L342" s="19" t="str">
        <f t="shared" si="160"/>
        <v/>
      </c>
      <c r="M342" s="124" t="str">
        <f t="shared" si="161"/>
        <v/>
      </c>
      <c r="N342" s="124" t="str">
        <f>IF(AND(L342=Datenblatt!$B$7,NOT(L341=Datenblatt!$B$7),NOT(L343=Datenblatt!$B$7)),"y",IF(AND(L342=Datenblatt!$B$7,L343=Datenblatt!$B$7,NOT(L341=Datenblatt!$B$7)),"a",IF(AND(L342=Datenblatt!$B$7,L341=Datenblatt!$B$7,NOT(L343=Datenblatt!$B$7)),"b","")))</f>
        <v/>
      </c>
      <c r="O342" s="19" t="str">
        <f t="shared" si="162"/>
        <v/>
      </c>
      <c r="P342" s="124" t="str">
        <f>IF(AND(M342=Datenblatt!$B$7,NOT(M341=Datenblatt!$B$7),NOT(M343=Datenblatt!$B$7)),"y",IF(AND(M342=Datenblatt!$B$7,M343=Datenblatt!$B$7,NOT(M341=Datenblatt!$B$7)),"a",IF(AND(M342=Datenblatt!$B$7,M341=Datenblatt!$B$7,NOT(M343=Datenblatt!$B$7)),"b","")))</f>
        <v/>
      </c>
      <c r="Q342" s="19" t="str">
        <f t="shared" si="163"/>
        <v/>
      </c>
      <c r="R342" s="124" t="str">
        <f>IF(I342="","",IF(AND(OR(J342="Krankenstand",J342="Urlaub",J342=""), AND(G342=0,NOT(I342=""))),Datenblatt!$B$7,""))</f>
        <v/>
      </c>
      <c r="S342" s="19" t="str">
        <f>IF(OR(J342="Krankenstand",J342="Urlaub"),"",IF(J342="","",VLOOKUP(D342,Dienste!C:W,21,)))</f>
        <v/>
      </c>
      <c r="T342" s="18" t="str">
        <f>IF(OR(J342="Krankenstand",J342="Urlaub"),"",IF(J342="","",VLOOKUP(D342,Dienste!C:W,5,)))</f>
        <v/>
      </c>
      <c r="U342" s="18" t="str">
        <f>IF(OR(J342="Krankenstand",J342="Urlaub"),"",IF(J342="","",VLOOKUP(D342,Dienste!C:W,6,)))</f>
        <v/>
      </c>
      <c r="V342" s="18" t="str">
        <f>IF(OR(J342="Krankenstand",J342="Urlaub"),"",IF(J342="","",VLOOKUP(D342,Dienste!C:W,7,)))</f>
        <v/>
      </c>
      <c r="W342" s="18" t="str">
        <f>IF(OR(J342="Krankenstand",J342="Urlaub"),"",IF(J342="","",VLOOKUP(D342,Dienste!C:W,11,)))</f>
        <v/>
      </c>
      <c r="X342" s="18" t="str">
        <f>IF(OR(J342="Krankenstand",J342="Urlaub"),"",IF(J342="","",VLOOKUP(D342,Dienste!C:W,12,)))</f>
        <v/>
      </c>
      <c r="Y342" s="19" t="str">
        <f>IF(OR(J342="Krankenstand",J342="Urlaub"),"",IF(J342="","",VLOOKUP(D342,Dienste!C:W,14,)))</f>
        <v/>
      </c>
      <c r="Z342" s="20" t="str">
        <f>IF(OR(J342="Krankenstand",J342="Urlaub"),"",IF(J342="","",VLOOKUP(D342,Dienste!C:W,15,)))</f>
        <v/>
      </c>
      <c r="AA342" s="124" t="str">
        <f t="shared" si="154"/>
        <v/>
      </c>
      <c r="AB342" s="19" t="str">
        <f t="shared" si="155"/>
        <v/>
      </c>
      <c r="AC342" s="126" t="str">
        <f>_xlfn.CONCAT(_xlfn.CONCAT(IF(I342="","",_xlfn.CONCAT("FT: ",I342,IF(J342="","","; "))),IF(B342&lt;Datenblatt!$B$9,"",IF(B342="","",IF(NOT(J342=""),SUBSTITUTE(SUBSTITUTE(SUBSTITUTE(J342," mR","")," oR","")," O",""),"")))),IF(AF342="","",_xlfn.CONCAT(CHAR(10),"; ",AF342)))</f>
        <v/>
      </c>
      <c r="AD342" s="124" t="str">
        <f t="shared" si="164"/>
        <v/>
      </c>
      <c r="AE342" s="19">
        <f t="shared" si="156"/>
        <v>0</v>
      </c>
      <c r="AF342" s="156"/>
    </row>
    <row r="343" spans="1:32" s="9" customFormat="1" ht="13">
      <c r="B343" s="6">
        <f t="shared" si="157"/>
        <v>44832</v>
      </c>
      <c r="C343" s="45">
        <f>SMALL(Daten!W:W,COUNTIF(Daten!W:W,"&lt;"&amp;Stundenaufzeichnung!B343+1))</f>
        <v>44578</v>
      </c>
      <c r="D343" s="45" t="str">
        <f t="shared" si="152"/>
        <v/>
      </c>
      <c r="E343" s="8">
        <f t="shared" si="153"/>
        <v>5</v>
      </c>
      <c r="F343" s="8">
        <f t="shared" si="158"/>
        <v>3</v>
      </c>
      <c r="G343" s="8">
        <f>IF(B343="","",VLOOKUP(E343,Datenblatt!$L$2:$N$8,3,FALSE))</f>
        <v>0</v>
      </c>
      <c r="H343" s="8" t="str">
        <f t="shared" si="159"/>
        <v/>
      </c>
      <c r="I343" s="11" t="str">
        <f>IFERROR(VLOOKUP(B343,Datenblatt!$E:$F,2,FALSE),"")</f>
        <v/>
      </c>
      <c r="J343" s="113"/>
      <c r="K343" s="19">
        <f>IF(B343&lt;Datenblatt!$B$9,"",IF(B343="","",IF(G343=0,Datenblatt!$B$7,"")))</f>
        <v>6.67</v>
      </c>
      <c r="L343" s="19" t="str">
        <f t="shared" si="160"/>
        <v/>
      </c>
      <c r="M343" s="124" t="str">
        <f t="shared" si="161"/>
        <v/>
      </c>
      <c r="N343" s="124" t="str">
        <f>IF(AND(L343=Datenblatt!$B$7,NOT(L342=Datenblatt!$B$7),NOT(L344=Datenblatt!$B$7)),"y",IF(AND(L343=Datenblatt!$B$7,L344=Datenblatt!$B$7,NOT(L342=Datenblatt!$B$7)),"a",IF(AND(L343=Datenblatt!$B$7,L342=Datenblatt!$B$7,NOT(L344=Datenblatt!$B$7)),"b","")))</f>
        <v/>
      </c>
      <c r="O343" s="19" t="str">
        <f t="shared" si="162"/>
        <v/>
      </c>
      <c r="P343" s="124" t="str">
        <f>IF(AND(M343=Datenblatt!$B$7,NOT(M342=Datenblatt!$B$7),NOT(M344=Datenblatt!$B$7)),"y",IF(AND(M343=Datenblatt!$B$7,M344=Datenblatt!$B$7,NOT(M342=Datenblatt!$B$7)),"a",IF(AND(M343=Datenblatt!$B$7,M342=Datenblatt!$B$7,NOT(M344=Datenblatt!$B$7)),"b","")))</f>
        <v/>
      </c>
      <c r="Q343" s="19" t="str">
        <f t="shared" si="163"/>
        <v/>
      </c>
      <c r="R343" s="124" t="str">
        <f>IF(I343="","",IF(AND(OR(J343="Krankenstand",J343="Urlaub",J343=""), AND(G343=0,NOT(I343=""))),Datenblatt!$B$7,""))</f>
        <v/>
      </c>
      <c r="S343" s="19" t="str">
        <f>IF(OR(J343="Krankenstand",J343="Urlaub"),"",IF(J343="","",VLOOKUP(D343,Dienste!C:W,21,)))</f>
        <v/>
      </c>
      <c r="T343" s="18" t="str">
        <f>IF(OR(J343="Krankenstand",J343="Urlaub"),"",IF(J343="","",VLOOKUP(D343,Dienste!C:W,5,)))</f>
        <v/>
      </c>
      <c r="U343" s="18" t="str">
        <f>IF(OR(J343="Krankenstand",J343="Urlaub"),"",IF(J343="","",VLOOKUP(D343,Dienste!C:W,6,)))</f>
        <v/>
      </c>
      <c r="V343" s="18" t="str">
        <f>IF(OR(J343="Krankenstand",J343="Urlaub"),"",IF(J343="","",VLOOKUP(D343,Dienste!C:W,7,)))</f>
        <v/>
      </c>
      <c r="W343" s="18" t="str">
        <f>IF(OR(J343="Krankenstand",J343="Urlaub"),"",IF(J343="","",VLOOKUP(D343,Dienste!C:W,11,)))</f>
        <v/>
      </c>
      <c r="X343" s="18" t="str">
        <f>IF(OR(J343="Krankenstand",J343="Urlaub"),"",IF(J343="","",VLOOKUP(D343,Dienste!C:W,12,)))</f>
        <v/>
      </c>
      <c r="Y343" s="19" t="str">
        <f>IF(OR(J343="Krankenstand",J343="Urlaub"),"",IF(J343="","",VLOOKUP(D343,Dienste!C:W,14,)))</f>
        <v/>
      </c>
      <c r="Z343" s="20" t="str">
        <f>IF(OR(J343="Krankenstand",J343="Urlaub"),"",IF(J343="","",VLOOKUP(D343,Dienste!C:W,15,)))</f>
        <v/>
      </c>
      <c r="AA343" s="124" t="str">
        <f t="shared" si="154"/>
        <v/>
      </c>
      <c r="AB343" s="19" t="str">
        <f t="shared" si="155"/>
        <v/>
      </c>
      <c r="AC343" s="126" t="str">
        <f>_xlfn.CONCAT(_xlfn.CONCAT(IF(I343="","",_xlfn.CONCAT("FT: ",I343,IF(J343="","","; "))),IF(B343&lt;Datenblatt!$B$9,"",IF(B343="","",IF(NOT(J343=""),SUBSTITUTE(SUBSTITUTE(SUBSTITUTE(J343," mR","")," oR","")," O",""),"")))),IF(AF343="","",_xlfn.CONCAT(CHAR(10),"; ",AF343)))</f>
        <v/>
      </c>
      <c r="AD343" s="124" t="str">
        <f t="shared" si="164"/>
        <v/>
      </c>
      <c r="AE343" s="19">
        <f t="shared" si="156"/>
        <v>0</v>
      </c>
      <c r="AF343" s="156"/>
    </row>
    <row r="344" spans="1:32" s="9" customFormat="1" ht="13">
      <c r="B344" s="6">
        <f>IF(B343="","",IF(DAY(B343+1)&lt;29,"",B343+1))</f>
        <v>44833</v>
      </c>
      <c r="C344" s="45">
        <f>SMALL(Daten!W:W,COUNTIF(Daten!W:W,"&lt;"&amp;Stundenaufzeichnung!B344+1))</f>
        <v>44578</v>
      </c>
      <c r="D344" s="45" t="str">
        <f t="shared" si="152"/>
        <v/>
      </c>
      <c r="E344" s="8">
        <f t="shared" si="153"/>
        <v>6</v>
      </c>
      <c r="F344" s="8">
        <f>IF(B344="","",MOD(E344+$F$3,7)+1)</f>
        <v>4</v>
      </c>
      <c r="G344" s="8">
        <f>IF(B344="","",VLOOKUP(E344,Datenblatt!$L$2:$N$8,3,FALSE))</f>
        <v>0</v>
      </c>
      <c r="H344" s="8" t="str">
        <f t="shared" si="159"/>
        <v/>
      </c>
      <c r="I344" s="11" t="str">
        <f>IFERROR(VLOOKUP(B344,Datenblatt!$E:$F,2,FALSE),"")</f>
        <v/>
      </c>
      <c r="J344" s="113"/>
      <c r="K344" s="19">
        <f>IF(B344&lt;Datenblatt!$B$9,"",IF(B344="","",IF(G344=0,Datenblatt!$B$7,"")))</f>
        <v>6.67</v>
      </c>
      <c r="L344" s="19" t="str">
        <f t="shared" si="160"/>
        <v/>
      </c>
      <c r="M344" s="124" t="str">
        <f t="shared" si="161"/>
        <v/>
      </c>
      <c r="N344" s="124" t="str">
        <f>IF(AND(L344=Datenblatt!$B$7,NOT(L343=Datenblatt!$B$7),NOT(L345=Datenblatt!$B$7)),"y",IF(AND(L344=Datenblatt!$B$7,L345=Datenblatt!$B$7,NOT(L343=Datenblatt!$B$7)),"a",IF(AND(L344=Datenblatt!$B$7,L343=Datenblatt!$B$7,NOT(L345=Datenblatt!$B$7)),"b","")))</f>
        <v/>
      </c>
      <c r="O344" s="19" t="str">
        <f t="shared" si="162"/>
        <v/>
      </c>
      <c r="P344" s="124" t="str">
        <f>IF(AND(M344=Datenblatt!$B$7,NOT(M343=Datenblatt!$B$7),NOT(M345=Datenblatt!$B$7)),"y",IF(AND(M344=Datenblatt!$B$7,M345=Datenblatt!$B$7,NOT(M343=Datenblatt!$B$7)),"a",IF(AND(M344=Datenblatt!$B$7,M343=Datenblatt!$B$7,NOT(M345=Datenblatt!$B$7)),"b","")))</f>
        <v/>
      </c>
      <c r="Q344" s="19" t="str">
        <f t="shared" si="163"/>
        <v/>
      </c>
      <c r="R344" s="124" t="str">
        <f>IF(I344="","",IF(AND(OR(J344="Krankenstand",J344="Urlaub",J344=""), AND(G344=0,NOT(I344=""))),Datenblatt!$B$7,""))</f>
        <v/>
      </c>
      <c r="S344" s="19" t="str">
        <f>IF(OR(J344="Krankenstand",J344="Urlaub"),"",IF(J344="","",VLOOKUP(D344,Dienste!C:W,21,)))</f>
        <v/>
      </c>
      <c r="T344" s="18" t="str">
        <f>IF(OR(J344="Krankenstand",J344="Urlaub"),"",IF(J344="","",VLOOKUP(D344,Dienste!C:W,5,)))</f>
        <v/>
      </c>
      <c r="U344" s="18" t="str">
        <f>IF(OR(J344="Krankenstand",J344="Urlaub"),"",IF(J344="","",VLOOKUP(D344,Dienste!C:W,6,)))</f>
        <v/>
      </c>
      <c r="V344" s="18" t="str">
        <f>IF(OR(J344="Krankenstand",J344="Urlaub"),"",IF(J344="","",VLOOKUP(D344,Dienste!C:W,7,)))</f>
        <v/>
      </c>
      <c r="W344" s="18" t="str">
        <f>IF(OR(J344="Krankenstand",J344="Urlaub"),"",IF(J344="","",VLOOKUP(D344,Dienste!C:W,11,)))</f>
        <v/>
      </c>
      <c r="X344" s="18" t="str">
        <f>IF(OR(J344="Krankenstand",J344="Urlaub"),"",IF(J344="","",VLOOKUP(D344,Dienste!C:W,12,)))</f>
        <v/>
      </c>
      <c r="Y344" s="19" t="str">
        <f>IF(OR(J344="Krankenstand",J344="Urlaub"),"",IF(J344="","",VLOOKUP(D344,Dienste!C:W,14,)))</f>
        <v/>
      </c>
      <c r="Z344" s="20" t="str">
        <f>IF(OR(J344="Krankenstand",J344="Urlaub"),"",IF(J344="","",VLOOKUP(D344,Dienste!C:W,15,)))</f>
        <v/>
      </c>
      <c r="AA344" s="124" t="str">
        <f t="shared" si="154"/>
        <v/>
      </c>
      <c r="AB344" s="19" t="str">
        <f t="shared" si="155"/>
        <v/>
      </c>
      <c r="AC344" s="126" t="str">
        <f>_xlfn.CONCAT(_xlfn.CONCAT(IF(I344="","",_xlfn.CONCAT("FT: ",I344,IF(J344="","","; "))),IF(B344&lt;Datenblatt!$B$9,"",IF(B344="","",IF(NOT(J344=""),SUBSTITUTE(SUBSTITUTE(SUBSTITUTE(J344," mR","")," oR","")," O",""),"")))),IF(AF344="","",_xlfn.CONCAT(CHAR(10),"; ",AF344)))</f>
        <v/>
      </c>
      <c r="AD344" s="124" t="str">
        <f t="shared" si="164"/>
        <v/>
      </c>
      <c r="AE344" s="19">
        <f t="shared" si="156"/>
        <v>0</v>
      </c>
      <c r="AF344" s="156"/>
    </row>
    <row r="345" spans="1:32" s="9" customFormat="1" ht="13">
      <c r="B345" s="6">
        <f>IF(B344="","",IF(DAY(B344+1)&lt;30,"",B344+1))</f>
        <v>44834</v>
      </c>
      <c r="C345" s="45">
        <f>SMALL(Daten!W:W,COUNTIF(Daten!W:W,"&lt;"&amp;Stundenaufzeichnung!B345+1))</f>
        <v>44578</v>
      </c>
      <c r="D345" s="45" t="str">
        <f t="shared" si="152"/>
        <v/>
      </c>
      <c r="E345" s="8">
        <f t="shared" si="153"/>
        <v>7</v>
      </c>
      <c r="F345" s="8">
        <f>IF(B345="","",MOD(E345+$F$3,7)+1)</f>
        <v>5</v>
      </c>
      <c r="G345" s="8">
        <f>IF(B345="","",VLOOKUP(E345,Datenblatt!$L$2:$N$8,3,FALSE))</f>
        <v>0</v>
      </c>
      <c r="H345" s="8" t="str">
        <f t="shared" si="159"/>
        <v/>
      </c>
      <c r="I345" s="11" t="str">
        <f>IFERROR(VLOOKUP(B345,Datenblatt!$E:$F,2,FALSE),"")</f>
        <v/>
      </c>
      <c r="J345" s="113"/>
      <c r="K345" s="19">
        <f>IF(B345&lt;Datenblatt!$B$9,"",IF(B345="","",IF(G345=0,Datenblatt!$B$7,"")))</f>
        <v>6.67</v>
      </c>
      <c r="L345" s="19" t="str">
        <f t="shared" si="160"/>
        <v/>
      </c>
      <c r="M345" s="124" t="str">
        <f t="shared" si="161"/>
        <v/>
      </c>
      <c r="N345" s="124" t="str">
        <f>IF(AND(L345=Datenblatt!$B$7,NOT(L344=Datenblatt!$B$7),NOT(L346=Datenblatt!$B$7)),"y",IF(AND(L345=Datenblatt!$B$7,L346=Datenblatt!$B$7,NOT(L344=Datenblatt!$B$7)),"a",IF(AND(L345=Datenblatt!$B$7,L344=Datenblatt!$B$7,NOT(L346=Datenblatt!$B$7)),"b","")))</f>
        <v/>
      </c>
      <c r="O345" s="19" t="str">
        <f t="shared" si="162"/>
        <v/>
      </c>
      <c r="P345" s="124" t="str">
        <f>IF(AND(M345=Datenblatt!$B$7,NOT(M344=Datenblatt!$B$7),NOT(M346=Datenblatt!$B$7)),"y",IF(AND(M345=Datenblatt!$B$7,M346=Datenblatt!$B$7,NOT(M344=Datenblatt!$B$7)),"a",IF(AND(M345=Datenblatt!$B$7,M344=Datenblatt!$B$7,NOT(M346=Datenblatt!$B$7)),"b","")))</f>
        <v/>
      </c>
      <c r="Q345" s="19" t="str">
        <f t="shared" si="163"/>
        <v/>
      </c>
      <c r="R345" s="124" t="str">
        <f>IF(I345="","",IF(AND(OR(J345="Krankenstand",J345="Urlaub",J345=""), AND(G345=0,NOT(I345=""))),Datenblatt!$B$7,""))</f>
        <v/>
      </c>
      <c r="S345" s="19" t="str">
        <f>IF(OR(J345="Krankenstand",J345="Urlaub"),"",IF(J345="","",VLOOKUP(D345,Dienste!C:W,21,)))</f>
        <v/>
      </c>
      <c r="T345" s="18" t="str">
        <f>IF(OR(J345="Krankenstand",J345="Urlaub"),"",IF(J345="","",VLOOKUP(D345,Dienste!C:W,5,)))</f>
        <v/>
      </c>
      <c r="U345" s="18" t="str">
        <f>IF(OR(J345="Krankenstand",J345="Urlaub"),"",IF(J345="","",VLOOKUP(D345,Dienste!C:W,6,)))</f>
        <v/>
      </c>
      <c r="V345" s="18" t="str">
        <f>IF(OR(J345="Krankenstand",J345="Urlaub"),"",IF(J345="","",VLOOKUP(D345,Dienste!C:W,7,)))</f>
        <v/>
      </c>
      <c r="W345" s="18" t="str">
        <f>IF(OR(J345="Krankenstand",J345="Urlaub"),"",IF(J345="","",VLOOKUP(D345,Dienste!C:W,11,)))</f>
        <v/>
      </c>
      <c r="X345" s="18" t="str">
        <f>IF(OR(J345="Krankenstand",J345="Urlaub"),"",IF(J345="","",VLOOKUP(D345,Dienste!C:W,12,)))</f>
        <v/>
      </c>
      <c r="Y345" s="19" t="str">
        <f>IF(OR(J345="Krankenstand",J345="Urlaub"),"",IF(J345="","",VLOOKUP(D345,Dienste!C:W,14,)))</f>
        <v/>
      </c>
      <c r="Z345" s="20" t="str">
        <f>IF(OR(J345="Krankenstand",J345="Urlaub"),"",IF(J345="","",VLOOKUP(D345,Dienste!C:W,15,)))</f>
        <v/>
      </c>
      <c r="AA345" s="124" t="str">
        <f>IF(OR(Y345="",NOT(AB345="")),"",IF(AND(Y345&lt;AE346,AE346&gt;0),Y345,IF(AE346&gt;0,AE346,"")))</f>
        <v/>
      </c>
      <c r="AB345" s="19" t="str">
        <f t="shared" si="155"/>
        <v/>
      </c>
      <c r="AC345" s="126" t="str">
        <f>_xlfn.CONCAT(_xlfn.CONCAT(IF(I345="","",_xlfn.CONCAT("FT: ",I345,IF(J345="","","; "))),IF(B345&lt;Datenblatt!$B$9,"",IF(B345="","",IF(NOT(J345=""),SUBSTITUTE(SUBSTITUTE(SUBSTITUTE(J345," mR","")," oR","")," O",""),"")))),IF(AF345="","",_xlfn.CONCAT(CHAR(10),"; ",AF345)))</f>
        <v/>
      </c>
      <c r="AD345" s="124" t="str">
        <f t="shared" si="164"/>
        <v/>
      </c>
      <c r="AE345" s="19">
        <f t="shared" si="156"/>
        <v>0</v>
      </c>
      <c r="AF345" s="156"/>
    </row>
    <row r="346" spans="1:32" s="9" customFormat="1" ht="13">
      <c r="B346" s="28" t="str">
        <f>IF(B345="","",IF(DAY(B345+1)&lt;31,"",B345+1))</f>
        <v/>
      </c>
      <c r="C346" s="47" t="e">
        <f>SMALL(Daten!W:W,COUNTIF(Daten!W:W,"&lt;"&amp;Stundenaufzeichnung!B346+1))</f>
        <v>#NUM!</v>
      </c>
      <c r="D346" s="47" t="str">
        <f t="shared" si="152"/>
        <v/>
      </c>
      <c r="E346" s="29" t="str">
        <f t="shared" si="153"/>
        <v/>
      </c>
      <c r="F346" s="29" t="str">
        <f>IF(B346="","",MOD(E346+$F$3,7)+1)</f>
        <v/>
      </c>
      <c r="G346" s="29" t="str">
        <f>IF(B346="","",VLOOKUP(E346,Datenblatt!$L$2:$N$8,3,FALSE))</f>
        <v/>
      </c>
      <c r="H346" s="29" t="str">
        <f t="shared" si="159"/>
        <v/>
      </c>
      <c r="I346" s="123" t="str">
        <f>IFERROR(VLOOKUP(B346,Datenblatt!$E:$F,2,FALSE),"")</f>
        <v/>
      </c>
      <c r="J346" s="114"/>
      <c r="K346" s="30" t="str">
        <f>IF(B346&lt;Datenblatt!$B$9,"",IF(B346="","",IF(G346=0,Datenblatt!$B$7,"")))</f>
        <v/>
      </c>
      <c r="L346" s="30" t="str">
        <f t="shared" si="160"/>
        <v/>
      </c>
      <c r="M346" s="30" t="str">
        <f t="shared" si="161"/>
        <v/>
      </c>
      <c r="N346" s="30" t="str">
        <f>IF(AND(L346=Datenblatt!$B$7,NOT(L345=Datenblatt!$B$7),NOT(L347=Datenblatt!$B$7)),"y",IF(AND(L346=Datenblatt!$B$7,L347=Datenblatt!$B$7,NOT(L345=Datenblatt!$B$7)),"a",IF(AND(L346=Datenblatt!$B$7,L345=Datenblatt!$B$7,NOT(L347=Datenblatt!$B$7)),"b","")))</f>
        <v/>
      </c>
      <c r="O346" s="30" t="str">
        <f t="shared" si="162"/>
        <v/>
      </c>
      <c r="P346" s="30" t="str">
        <f>IF(AND(M346=Datenblatt!$B$7,NOT(M345=Datenblatt!$B$7),NOT(M347=Datenblatt!$B$7)),"y",IF(AND(M346=Datenblatt!$B$7,M347=Datenblatt!$B$7,NOT(M345=Datenblatt!$B$7)),"a",IF(AND(M346=Datenblatt!$B$7,M345=Datenblatt!$B$7,NOT(M347=Datenblatt!$B$7)),"b","")))</f>
        <v/>
      </c>
      <c r="Q346" s="30" t="str">
        <f t="shared" si="163"/>
        <v/>
      </c>
      <c r="R346" s="30" t="str">
        <f>IF(I346="","",IF(AND(OR(J346="Krankenstand",J346="Urlaub",J346=""), AND(G346=0,NOT(I346=""))),Datenblatt!$B$7,""))</f>
        <v/>
      </c>
      <c r="S346" s="30" t="str">
        <f>IF(OR(J346="Krankenstand",J346="Urlaub"),"",IF(J346="","",VLOOKUP(D346,Dienste!C:W,21,)))</f>
        <v/>
      </c>
      <c r="T346" s="31" t="str">
        <f>IF(OR(J346="Krankenstand",J346="Urlaub"),"",IF(J346="","",VLOOKUP(D346,Dienste!C:W,5,)))</f>
        <v/>
      </c>
      <c r="U346" s="31" t="str">
        <f>IF(OR(J346="Krankenstand",J346="Urlaub"),"",IF(J346="","",VLOOKUP(D346,Dienste!C:W,6,)))</f>
        <v/>
      </c>
      <c r="V346" s="31" t="str">
        <f>IF(OR(J346="Krankenstand",J346="Urlaub"),"",IF(J346="","",VLOOKUP(D346,Dienste!C:W,7,)))</f>
        <v/>
      </c>
      <c r="W346" s="31" t="str">
        <f>IF(OR(J346="Krankenstand",J346="Urlaub"),"",IF(J346="","",VLOOKUP(D346,Dienste!C:W,11,)))</f>
        <v/>
      </c>
      <c r="X346" s="31" t="str">
        <f>IF(OR(J346="Krankenstand",J346="Urlaub"),"",IF(J346="","",VLOOKUP(D346,Dienste!C:W,12,)))</f>
        <v/>
      </c>
      <c r="Y346" s="30" t="str">
        <f>IF(OR(J346="Krankenstand",J346="Urlaub"),"",IF(J346="","",VLOOKUP(D346,Dienste!C:W,14,)))</f>
        <v/>
      </c>
      <c r="Z346" s="32" t="str">
        <f>IF(OR(J346="Krankenstand",J346="Urlaub"),"",IF(J346="","",VLOOKUP(D346,Dienste!C:W,15,)))</f>
        <v/>
      </c>
      <c r="AA346" s="30" t="str">
        <f>IF(OR(Y346="",NOT(AB346="")),"",IF(AND(Y346&lt;AE347,AE347&gt;0),Y346,IF(AE347&gt;0,AE347,"")))</f>
        <v/>
      </c>
      <c r="AB346" s="30" t="str">
        <f t="shared" si="155"/>
        <v/>
      </c>
      <c r="AC346" s="125" t="str">
        <f>_xlfn.CONCAT(_xlfn.CONCAT(IF(I346="","",_xlfn.CONCAT("FT: ",I346,IF(J346="","","; "))),IF(B346&lt;Datenblatt!$B$9,"",IF(B346="","",IF(NOT(J346=""),SUBSTITUTE(SUBSTITUTE(SUBSTITUTE(J346," mR","")," oR","")," O",""),"")))),IF(AF346="","",_xlfn.CONCAT(CHAR(10),"; ",AF346)))</f>
        <v/>
      </c>
      <c r="AD346" s="30" t="str">
        <f t="shared" si="164"/>
        <v/>
      </c>
      <c r="AE346" s="30">
        <f>IF(OR(Y346="",NOT(AB346="")),AE347,AE347-Y346)</f>
        <v>0</v>
      </c>
      <c r="AF346" s="157"/>
    </row>
    <row r="347" spans="1:32" s="8" customFormat="1" ht="13">
      <c r="AA347" s="19">
        <f>IF(AD348-AB348-K348&lt;0,0,AD348-AB348-K348)</f>
        <v>0</v>
      </c>
      <c r="AC347" s="17" t="s">
        <v>193</v>
      </c>
      <c r="AE347" s="19">
        <f>AA347</f>
        <v>0</v>
      </c>
      <c r="AF347" s="17"/>
    </row>
    <row r="348" spans="1:32" s="8" customFormat="1" ht="13">
      <c r="B348" s="25" t="str">
        <f>"Summen "&amp;TEXT(B316,"MMMM")</f>
        <v>Summen September</v>
      </c>
      <c r="C348" s="25"/>
      <c r="D348" s="25"/>
      <c r="E348" s="17"/>
      <c r="F348" s="17"/>
      <c r="G348" s="17"/>
      <c r="H348" s="17"/>
      <c r="I348" s="17"/>
      <c r="J348" s="17"/>
      <c r="K348" s="19">
        <f>SUM(K316:K346)</f>
        <v>173.41999999999993</v>
      </c>
      <c r="L348" s="19">
        <f t="shared" ref="L348:M348" si="165">SUM(L316:L346)</f>
        <v>0</v>
      </c>
      <c r="M348" s="19">
        <f t="shared" si="165"/>
        <v>0</v>
      </c>
      <c r="N348" s="19"/>
      <c r="O348" s="19" t="str">
        <f>IF(_xlfn.CONCAT(O316:O346)="","",REPLACE(_xlfn.CONCAT(O316:O346),LEN(_xlfn.CONCAT(O316:O346))-1,1,""))</f>
        <v/>
      </c>
      <c r="P348" s="19"/>
      <c r="Q348" s="19" t="str">
        <f t="shared" ref="Q348" si="166">IF(_xlfn.CONCAT(Q316:Q346)="","",REPLACE(_xlfn.CONCAT(Q316:Q346),LEN(_xlfn.CONCAT(Q316:Q346))-1,1,""))</f>
        <v/>
      </c>
      <c r="R348" s="19">
        <f t="shared" ref="R348:S348" si="167">SUM(R316:R346)</f>
        <v>0</v>
      </c>
      <c r="S348" s="19">
        <f t="shared" si="167"/>
        <v>0</v>
      </c>
      <c r="T348" s="19"/>
      <c r="U348" s="19"/>
      <c r="V348" s="19"/>
      <c r="W348" s="19"/>
      <c r="X348" s="17"/>
      <c r="Y348" s="19">
        <f>SUM(Y316:Y346)</f>
        <v>0</v>
      </c>
      <c r="Z348" s="20">
        <f>SUM(Z316:Z346)</f>
        <v>0</v>
      </c>
      <c r="AA348" s="26">
        <f>IF(AA347&gt;10,10,AA347)</f>
        <v>0</v>
      </c>
      <c r="AB348" s="19">
        <f t="shared" ref="AB348" si="168">SUM(AB316:AB346)</f>
        <v>0</v>
      </c>
      <c r="AC348" s="20">
        <f>R349</f>
        <v>0</v>
      </c>
      <c r="AD348" s="19">
        <f>SUM(AD316:AD346)</f>
        <v>0</v>
      </c>
      <c r="AE348" s="19"/>
      <c r="AF348" s="20"/>
    </row>
    <row r="349" spans="1:32" s="8" customFormat="1" ht="13">
      <c r="B349" s="25" t="str">
        <f>"Anzahl "&amp;TEXT(B316,"MMMM")</f>
        <v>Anzahl September</v>
      </c>
      <c r="C349" s="25"/>
      <c r="D349" s="25"/>
      <c r="E349" s="17"/>
      <c r="F349" s="17"/>
      <c r="G349" s="17"/>
      <c r="H349" s="17"/>
      <c r="I349" s="17"/>
      <c r="J349" s="17"/>
      <c r="K349" s="17">
        <f>COUNT(K316:K346)</f>
        <v>26</v>
      </c>
      <c r="L349" s="17">
        <f t="shared" ref="L349:M349" si="169">COUNT(L316:L346)</f>
        <v>0</v>
      </c>
      <c r="M349" s="17">
        <f t="shared" si="169"/>
        <v>0</v>
      </c>
      <c r="N349" s="17"/>
      <c r="O349" s="17"/>
      <c r="P349" s="17"/>
      <c r="Q349" s="17"/>
      <c r="R349" s="17">
        <f t="shared" ref="R349:S349" si="170">COUNT(R316:R346)</f>
        <v>0</v>
      </c>
      <c r="S349" s="17">
        <f t="shared" si="170"/>
        <v>0</v>
      </c>
      <c r="T349" s="17"/>
      <c r="U349" s="17"/>
      <c r="V349" s="17"/>
      <c r="W349" s="17"/>
      <c r="X349" s="17"/>
      <c r="Y349" s="17"/>
      <c r="Z349" s="17"/>
      <c r="AA349" s="27">
        <f>IF(AA347&gt;10,AA347-10,0)</f>
        <v>0</v>
      </c>
      <c r="AB349" s="17"/>
      <c r="AC349" s="17"/>
      <c r="AD349" s="17"/>
      <c r="AE349" s="17"/>
      <c r="AF349" s="17"/>
    </row>
    <row r="350" spans="1:32" s="8" customFormat="1" ht="13.5" thickBot="1">
      <c r="A350" s="10"/>
      <c r="B350" s="10"/>
      <c r="C350" s="10"/>
      <c r="D350" s="10"/>
      <c r="E350" s="10"/>
      <c r="F350" s="10"/>
      <c r="G350" s="10"/>
      <c r="H350" s="10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0"/>
      <c r="AB350" s="10"/>
      <c r="AC350" s="10"/>
      <c r="AD350" s="34"/>
      <c r="AE350" s="34"/>
      <c r="AF350" s="10"/>
    </row>
    <row r="351" spans="1:32" s="5" customFormat="1"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32" s="5" customFormat="1" ht="18.5">
      <c r="B352" s="33" t="s">
        <v>95</v>
      </c>
      <c r="C352" s="33"/>
      <c r="D352" s="33"/>
      <c r="E352" s="23"/>
      <c r="F352" s="23"/>
      <c r="G352" s="23"/>
      <c r="H352" s="23"/>
      <c r="I352" s="217" t="str">
        <f>Datenblatt!$B$4</f>
        <v>Dummy Name</v>
      </c>
      <c r="J352" s="217"/>
      <c r="K352" s="217"/>
      <c r="L352" s="217"/>
      <c r="M352" s="217"/>
      <c r="N352" s="217"/>
      <c r="O352" s="217"/>
      <c r="P352" s="217"/>
      <c r="Q352" s="217"/>
      <c r="R352" s="217"/>
      <c r="S352" s="217"/>
      <c r="T352" s="218" t="str">
        <f>TEXT(B355,"MMMM JJJJ")</f>
        <v>Oktober 2022</v>
      </c>
      <c r="U352" s="218"/>
      <c r="V352" s="218"/>
      <c r="W352" s="218"/>
      <c r="X352" s="8"/>
      <c r="Y352" s="8"/>
      <c r="Z352" s="8"/>
    </row>
    <row r="353" spans="1:32" s="5" customFormat="1" ht="15" customHeight="1">
      <c r="I353" s="2"/>
      <c r="J353" s="2"/>
      <c r="K353" s="13"/>
      <c r="L353" s="13"/>
      <c r="M353" s="13"/>
      <c r="N353" s="13"/>
      <c r="O353" s="13"/>
      <c r="P353" s="13"/>
      <c r="Q353" s="13"/>
      <c r="R353" s="13"/>
      <c r="S353" s="13"/>
      <c r="T353" s="221" t="s">
        <v>43</v>
      </c>
      <c r="U353" s="221"/>
      <c r="V353" s="221" t="s">
        <v>45</v>
      </c>
      <c r="W353" s="221" t="s">
        <v>116</v>
      </c>
      <c r="X353" s="221" t="s">
        <v>11</v>
      </c>
      <c r="Y353" s="219" t="s">
        <v>194</v>
      </c>
      <c r="Z353" s="219" t="s">
        <v>7</v>
      </c>
      <c r="AA353" s="220" t="s">
        <v>49</v>
      </c>
      <c r="AB353" s="220"/>
      <c r="AC353" s="160"/>
      <c r="AD353" s="160"/>
    </row>
    <row r="354" spans="1:32" s="5" customFormat="1" ht="15" customHeight="1">
      <c r="B354" s="8"/>
      <c r="C354" s="8"/>
      <c r="D354" s="8" t="s">
        <v>161</v>
      </c>
      <c r="E354" s="8"/>
      <c r="F354" s="8">
        <f>VLOOKUP(Datenblatt!$B$8,Datenblatt!$J:$K,2,FALSE)</f>
        <v>4</v>
      </c>
      <c r="G354" s="8" t="s">
        <v>113</v>
      </c>
      <c r="H354" s="8"/>
      <c r="I354" s="12" t="s">
        <v>92</v>
      </c>
      <c r="J354" s="115" t="s">
        <v>12</v>
      </c>
      <c r="K354" s="12" t="s">
        <v>94</v>
      </c>
      <c r="L354" s="12" t="s">
        <v>85</v>
      </c>
      <c r="M354" s="12" t="s">
        <v>88</v>
      </c>
      <c r="N354" s="12" t="s">
        <v>117</v>
      </c>
      <c r="O354" s="12" t="s">
        <v>117</v>
      </c>
      <c r="P354" s="12" t="s">
        <v>118</v>
      </c>
      <c r="Q354" s="12" t="s">
        <v>118</v>
      </c>
      <c r="R354" s="12" t="s">
        <v>112</v>
      </c>
      <c r="S354" s="12" t="s">
        <v>115</v>
      </c>
      <c r="T354" s="15" t="s">
        <v>51</v>
      </c>
      <c r="U354" s="15" t="s">
        <v>50</v>
      </c>
      <c r="V354" s="222"/>
      <c r="W354" s="222"/>
      <c r="X354" s="222"/>
      <c r="Y354" s="219"/>
      <c r="Z354" s="219" t="s">
        <v>7</v>
      </c>
      <c r="AA354" s="21">
        <v>0.5</v>
      </c>
      <c r="AB354" s="16" t="s">
        <v>114</v>
      </c>
      <c r="AC354" s="16" t="s">
        <v>131</v>
      </c>
      <c r="AD354" s="16" t="s">
        <v>131</v>
      </c>
      <c r="AE354" s="128" t="s">
        <v>195</v>
      </c>
      <c r="AF354" s="16" t="s">
        <v>198</v>
      </c>
    </row>
    <row r="355" spans="1:32" s="9" customFormat="1" ht="13">
      <c r="A355" s="9">
        <f>A316+1</f>
        <v>10</v>
      </c>
      <c r="B355" s="6">
        <f>DATE(Datenblatt!$B$3,A355,1)</f>
        <v>44835</v>
      </c>
      <c r="C355" s="45">
        <f>SMALL(Daten!W:W,COUNTIF(Daten!W:W,"&lt;"&amp;Stundenaufzeichnung!B355+1))</f>
        <v>44578</v>
      </c>
      <c r="D355" s="45" t="str">
        <f t="shared" ref="D355:D385" si="171">IF(J355="","",CONCATENATE(C355," ",J355))</f>
        <v/>
      </c>
      <c r="E355" s="8">
        <f t="shared" ref="E355:E385" si="172">IF(B355="","",WEEKDAY(B355,16))</f>
        <v>1</v>
      </c>
      <c r="F355" s="8">
        <f>MOD(E355+$F$3,7)+1</f>
        <v>6</v>
      </c>
      <c r="G355" s="8">
        <f>IF(B355="","",VLOOKUP(E355,Datenblatt!$L$2:$N$8,3,FALSE))</f>
        <v>0</v>
      </c>
      <c r="H355" s="8" t="str">
        <f>IF(OR(G355=1),"x",IF(I355="","","x"))</f>
        <v/>
      </c>
      <c r="I355" s="11" t="str">
        <f>IFERROR(VLOOKUP(B355,Datenblatt!$E:$F,2,FALSE),"")</f>
        <v/>
      </c>
      <c r="J355" s="113"/>
      <c r="K355" s="19">
        <f>IF(B355&lt;Datenblatt!$B$9,"",IF(B355="","",IF(G355=0,Datenblatt!$B$7,"")))</f>
        <v>6.67</v>
      </c>
      <c r="L355" s="19" t="str">
        <f>IF(AND(J355="Krankenstand",R355=""),K355,"")</f>
        <v/>
      </c>
      <c r="M355" s="124" t="str">
        <f>IF(AND(J355="Urlaub",R355=""),K355,"")</f>
        <v/>
      </c>
      <c r="N355" s="124" t="str">
        <f>IF(AND(L355=Datenblatt!$B$7,NOT(L354=Datenblatt!$B$7),NOT(L356=Datenblatt!$B$7)),"y",IF(AND(L355=Datenblatt!$B$7,L356=Datenblatt!$B$7,NOT(L354=Datenblatt!$B$7)),"a",IF(AND(L355=Datenblatt!$B$7,L354=Datenblatt!$B$7,NOT(L356=Datenblatt!$B$7)),"b","")))</f>
        <v/>
      </c>
      <c r="O355" s="19" t="str">
        <f>IF(N355="a",TEXT(B355,"TT.MM.")&amp;" - ",IF(OR(N355="b",N355="y"),TEXT(B355,"TT.MM.")&amp;"; ",""))</f>
        <v/>
      </c>
      <c r="P355" s="124" t="str">
        <f>IF(AND(M355=Datenblatt!$B$7,NOT(M354=Datenblatt!$B$7),NOT(M356=Datenblatt!$B$7)),"y",IF(AND(M355=Datenblatt!$B$7,M356=Datenblatt!$B$7,NOT(M354=Datenblatt!$B$7)),"a",IF(AND(M355=Datenblatt!$B$7,M354=Datenblatt!$B$7,NOT(M356=Datenblatt!$B$7)),"b","")))</f>
        <v/>
      </c>
      <c r="Q355" s="19" t="str">
        <f>IF(P355="a",TEXT(B355,"TT.MM.")&amp;" - ",IF(OR(P355="b",P355="y"),TEXT(B355,"TT.MM.")&amp;"; ",""))</f>
        <v/>
      </c>
      <c r="R355" s="124" t="str">
        <f>IF(I355="","",IF(AND(OR(J355="Krankenstand",J355="Urlaub",J355=""), AND(G355=0,NOT(I355=""))),Datenblatt!$B$7,""))</f>
        <v/>
      </c>
      <c r="S355" s="19" t="str">
        <f>IF(OR(J355="Krankenstand",J355="Urlaub"),"",IF(J355="","",VLOOKUP(D355,Dienste!C:W,21,)))</f>
        <v/>
      </c>
      <c r="T355" s="18" t="str">
        <f>IF(OR(J355="Krankenstand",J355="Urlaub"),"",IF(J355="","",VLOOKUP(D355,Dienste!C:W,5,)))</f>
        <v/>
      </c>
      <c r="U355" s="18" t="str">
        <f>IF(OR(J355="Krankenstand",J355="Urlaub"),"",IF(J355="","",VLOOKUP(D355,Dienste!C:W,6,)))</f>
        <v/>
      </c>
      <c r="V355" s="18" t="str">
        <f>IF(OR(J355="Krankenstand",J355="Urlaub"),"",IF(J355="","",VLOOKUP(D355,Dienste!C:W,7,)))</f>
        <v/>
      </c>
      <c r="W355" s="18" t="str">
        <f>IF(OR(J355="Krankenstand",J355="Urlaub"),"",IF(J355="","",VLOOKUP(D355,Dienste!C:W,11,)))</f>
        <v/>
      </c>
      <c r="X355" s="18" t="str">
        <f>IF(OR(J355="Krankenstand",J355="Urlaub"),"",IF(J355="","",VLOOKUP(D355,Dienste!C:W,12,)))</f>
        <v/>
      </c>
      <c r="Y355" s="19" t="str">
        <f>IF(OR(J355="Krankenstand",J355="Urlaub"),"",IF(J355="","",VLOOKUP(D355,Dienste!C:W,14,)))</f>
        <v/>
      </c>
      <c r="Z355" s="20" t="str">
        <f>IF(OR(J355="Krankenstand",J355="Urlaub"),"",IF(J355="","",VLOOKUP(D355,Dienste!C:W,15,)))</f>
        <v/>
      </c>
      <c r="AA355" s="124" t="str">
        <f t="shared" ref="AA355:AA383" si="173">IF(OR(Y355="",NOT(AB355="")),"",IF(AND(Y355&lt;AE356,AE356&gt;0),Y355,IF(AE356&gt;0,AE356,"")))</f>
        <v/>
      </c>
      <c r="AB355" s="19" t="str">
        <f t="shared" ref="AB355:AB385" si="174">IF(I355="","",Y355)</f>
        <v/>
      </c>
      <c r="AC355" s="126" t="str">
        <f>_xlfn.CONCAT(_xlfn.CONCAT(IF(I355="","",_xlfn.CONCAT("FT: ",I355,IF(J355="","","; "))),IF(B355&lt;Datenblatt!$B$9,"",IF(B355="","",IF(NOT(J355=""),SUBSTITUTE(SUBSTITUTE(SUBSTITUTE(J355," mR","")," oR","")," O",""),"")))),IF(AF355="","",_xlfn.CONCAT(CHAR(10),"; ",AF355)))</f>
        <v/>
      </c>
      <c r="AD355" s="124" t="str">
        <f>IF(SUM(Y355,R355,M355,L355)&lt;=0,"",SUM(Y355,R355,M355,L355))</f>
        <v/>
      </c>
      <c r="AE355" s="19">
        <f t="shared" ref="AE355:AE384" si="175">IF(OR(Y355="",NOT(AB355="")),AE356,AE356-Y355)</f>
        <v>0</v>
      </c>
      <c r="AF355" s="156"/>
    </row>
    <row r="356" spans="1:32" s="9" customFormat="1" ht="13">
      <c r="B356" s="6">
        <f t="shared" ref="B356:B382" si="176">B355+1</f>
        <v>44836</v>
      </c>
      <c r="C356" s="45">
        <f>SMALL(Daten!W:W,COUNTIF(Daten!W:W,"&lt;"&amp;Stundenaufzeichnung!B356+1))</f>
        <v>44578</v>
      </c>
      <c r="D356" s="45" t="str">
        <f t="shared" si="171"/>
        <v/>
      </c>
      <c r="E356" s="8">
        <f t="shared" si="172"/>
        <v>2</v>
      </c>
      <c r="F356" s="8">
        <f t="shared" ref="F356:F382" si="177">MOD(E356+$F$3,7)+1</f>
        <v>7</v>
      </c>
      <c r="G356" s="8">
        <f>IF(B356="","",VLOOKUP(E356,Datenblatt!$L$2:$N$8,3,FALSE))</f>
        <v>1</v>
      </c>
      <c r="H356" s="8" t="str">
        <f t="shared" ref="H356:H385" si="178">IF(OR(G356=1),"x",IF(I356="","","x"))</f>
        <v>x</v>
      </c>
      <c r="I356" s="11" t="str">
        <f>IFERROR(VLOOKUP(B356,Datenblatt!$E:$F,2,FALSE),"")</f>
        <v/>
      </c>
      <c r="J356" s="113"/>
      <c r="K356" s="19" t="str">
        <f>IF(B356&lt;Datenblatt!$B$9,"",IF(B356="","",IF(G356=0,Datenblatt!$B$7,"")))</f>
        <v/>
      </c>
      <c r="L356" s="19" t="str">
        <f t="shared" ref="L356:L385" si="179">IF(AND(J356="Krankenstand",R356=""),K356,"")</f>
        <v/>
      </c>
      <c r="M356" s="124" t="str">
        <f t="shared" ref="M356:M385" si="180">IF(AND(J356="Urlaub",R356=""),K356,"")</f>
        <v/>
      </c>
      <c r="N356" s="124" t="str">
        <f>IF(AND(L356=Datenblatt!$B$7,NOT(L355=Datenblatt!$B$7),NOT(L357=Datenblatt!$B$7)),"y",IF(AND(L356=Datenblatt!$B$7,L357=Datenblatt!$B$7,NOT(L355=Datenblatt!$B$7)),"a",IF(AND(L356=Datenblatt!$B$7,L355=Datenblatt!$B$7,NOT(L357=Datenblatt!$B$7)),"b","")))</f>
        <v/>
      </c>
      <c r="O356" s="19" t="str">
        <f t="shared" ref="O356:O385" si="181">IF(N356="a",TEXT(B356,"TT.MM.")&amp;" - ",IF(OR(N356="b",N356="y"),TEXT(B356,"TT.MM.")&amp;"; ",""))</f>
        <v/>
      </c>
      <c r="P356" s="124" t="str">
        <f>IF(AND(M356=Datenblatt!$B$7,NOT(M355=Datenblatt!$B$7),NOT(M357=Datenblatt!$B$7)),"y",IF(AND(M356=Datenblatt!$B$7,M357=Datenblatt!$B$7,NOT(M355=Datenblatt!$B$7)),"a",IF(AND(M356=Datenblatt!$B$7,M355=Datenblatt!$B$7,NOT(M357=Datenblatt!$B$7)),"b","")))</f>
        <v/>
      </c>
      <c r="Q356" s="19" t="str">
        <f t="shared" ref="Q356:Q385" si="182">IF(P356="a",TEXT(B356,"TT.MM.")&amp;" - ",IF(OR(P356="b",P356="y"),TEXT(B356,"TT.MM.")&amp;"; ",""))</f>
        <v/>
      </c>
      <c r="R356" s="124" t="str">
        <f>IF(I356="","",IF(AND(OR(J356="Krankenstand",J356="Urlaub",J356=""), AND(G356=0,NOT(I356=""))),Datenblatt!$B$7,""))</f>
        <v/>
      </c>
      <c r="S356" s="19" t="str">
        <f>IF(OR(J356="Krankenstand",J356="Urlaub"),"",IF(J356="","",VLOOKUP(D356,Dienste!C:W,21,)))</f>
        <v/>
      </c>
      <c r="T356" s="18" t="str">
        <f>IF(OR(J356="Krankenstand",J356="Urlaub"),"",IF(J356="","",VLOOKUP(D356,Dienste!C:W,5,)))</f>
        <v/>
      </c>
      <c r="U356" s="18" t="str">
        <f>IF(OR(J356="Krankenstand",J356="Urlaub"),"",IF(J356="","",VLOOKUP(D356,Dienste!C:W,6,)))</f>
        <v/>
      </c>
      <c r="V356" s="18" t="str">
        <f>IF(OR(J356="Krankenstand",J356="Urlaub"),"",IF(J356="","",VLOOKUP(D356,Dienste!C:W,7,)))</f>
        <v/>
      </c>
      <c r="W356" s="18" t="str">
        <f>IF(OR(J356="Krankenstand",J356="Urlaub"),"",IF(J356="","",VLOOKUP(D356,Dienste!C:W,11,)))</f>
        <v/>
      </c>
      <c r="X356" s="18" t="str">
        <f>IF(OR(J356="Krankenstand",J356="Urlaub"),"",IF(J356="","",VLOOKUP(D356,Dienste!C:W,12,)))</f>
        <v/>
      </c>
      <c r="Y356" s="19" t="str">
        <f>IF(OR(J356="Krankenstand",J356="Urlaub"),"",IF(J356="","",VLOOKUP(D356,Dienste!C:W,14,)))</f>
        <v/>
      </c>
      <c r="Z356" s="20" t="str">
        <f>IF(OR(J356="Krankenstand",J356="Urlaub"),"",IF(J356="","",VLOOKUP(D356,Dienste!C:W,15,)))</f>
        <v/>
      </c>
      <c r="AA356" s="124" t="str">
        <f t="shared" si="173"/>
        <v/>
      </c>
      <c r="AB356" s="19" t="str">
        <f t="shared" si="174"/>
        <v/>
      </c>
      <c r="AC356" s="126" t="str">
        <f>_xlfn.CONCAT(_xlfn.CONCAT(IF(I356="","",_xlfn.CONCAT("FT: ",I356,IF(J356="","","; "))),IF(B356&lt;Datenblatt!$B$9,"",IF(B356="","",IF(NOT(J356=""),SUBSTITUTE(SUBSTITUTE(SUBSTITUTE(J356," mR","")," oR","")," O",""),"")))),IF(AF356="","",_xlfn.CONCAT(CHAR(10),"; ",AF356)))</f>
        <v/>
      </c>
      <c r="AD356" s="124" t="str">
        <f t="shared" ref="AD356:AD385" si="183">IF(SUM(Y356,R356,M356,L356)&lt;=0,"",SUM(Y356,R356,M356,L356))</f>
        <v/>
      </c>
      <c r="AE356" s="19">
        <f t="shared" si="175"/>
        <v>0</v>
      </c>
      <c r="AF356" s="156"/>
    </row>
    <row r="357" spans="1:32" s="9" customFormat="1" ht="13">
      <c r="B357" s="6">
        <f t="shared" si="176"/>
        <v>44837</v>
      </c>
      <c r="C357" s="45">
        <f>SMALL(Daten!W:W,COUNTIF(Daten!W:W,"&lt;"&amp;Stundenaufzeichnung!B357+1))</f>
        <v>44578</v>
      </c>
      <c r="D357" s="45" t="str">
        <f t="shared" si="171"/>
        <v/>
      </c>
      <c r="E357" s="8">
        <f t="shared" si="172"/>
        <v>3</v>
      </c>
      <c r="F357" s="8">
        <f t="shared" si="177"/>
        <v>1</v>
      </c>
      <c r="G357" s="8">
        <f>IF(B357="","",VLOOKUP(E357,Datenblatt!$L$2:$N$8,3,FALSE))</f>
        <v>0</v>
      </c>
      <c r="H357" s="8" t="str">
        <f t="shared" si="178"/>
        <v/>
      </c>
      <c r="I357" s="11" t="str">
        <f>IFERROR(VLOOKUP(B357,Datenblatt!$E:$F,2,FALSE),"")</f>
        <v/>
      </c>
      <c r="J357" s="113"/>
      <c r="K357" s="19">
        <f>IF(B357&lt;Datenblatt!$B$9,"",IF(B357="","",IF(G357=0,Datenblatt!$B$7,"")))</f>
        <v>6.67</v>
      </c>
      <c r="L357" s="19" t="str">
        <f t="shared" si="179"/>
        <v/>
      </c>
      <c r="M357" s="124" t="str">
        <f t="shared" si="180"/>
        <v/>
      </c>
      <c r="N357" s="124" t="str">
        <f>IF(AND(L357=Datenblatt!$B$7,NOT(L356=Datenblatt!$B$7),NOT(L358=Datenblatt!$B$7)),"y",IF(AND(L357=Datenblatt!$B$7,L358=Datenblatt!$B$7,NOT(L356=Datenblatt!$B$7)),"a",IF(AND(L357=Datenblatt!$B$7,L356=Datenblatt!$B$7,NOT(L358=Datenblatt!$B$7)),"b","")))</f>
        <v/>
      </c>
      <c r="O357" s="19" t="str">
        <f t="shared" si="181"/>
        <v/>
      </c>
      <c r="P357" s="124" t="str">
        <f>IF(AND(M357=Datenblatt!$B$7,NOT(M356=Datenblatt!$B$7),NOT(M358=Datenblatt!$B$7)),"y",IF(AND(M357=Datenblatt!$B$7,M358=Datenblatt!$B$7,NOT(M356=Datenblatt!$B$7)),"a",IF(AND(M357=Datenblatt!$B$7,M356=Datenblatt!$B$7,NOT(M358=Datenblatt!$B$7)),"b","")))</f>
        <v/>
      </c>
      <c r="Q357" s="19" t="str">
        <f t="shared" si="182"/>
        <v/>
      </c>
      <c r="R357" s="124" t="str">
        <f>IF(I357="","",IF(AND(OR(J357="Krankenstand",J357="Urlaub",J357=""), AND(G357=0,NOT(I357=""))),Datenblatt!$B$7,""))</f>
        <v/>
      </c>
      <c r="S357" s="19" t="str">
        <f>IF(OR(J357="Krankenstand",J357="Urlaub"),"",IF(J357="","",VLOOKUP(D357,Dienste!C:W,21,)))</f>
        <v/>
      </c>
      <c r="T357" s="18" t="str">
        <f>IF(OR(J357="Krankenstand",J357="Urlaub"),"",IF(J357="","",VLOOKUP(D357,Dienste!C:W,5,)))</f>
        <v/>
      </c>
      <c r="U357" s="18" t="str">
        <f>IF(OR(J357="Krankenstand",J357="Urlaub"),"",IF(J357="","",VLOOKUP(D357,Dienste!C:W,6,)))</f>
        <v/>
      </c>
      <c r="V357" s="18" t="str">
        <f>IF(OR(J357="Krankenstand",J357="Urlaub"),"",IF(J357="","",VLOOKUP(D357,Dienste!C:W,7,)))</f>
        <v/>
      </c>
      <c r="W357" s="18" t="str">
        <f>IF(OR(J357="Krankenstand",J357="Urlaub"),"",IF(J357="","",VLOOKUP(D357,Dienste!C:W,11,)))</f>
        <v/>
      </c>
      <c r="X357" s="18" t="str">
        <f>IF(OR(J357="Krankenstand",J357="Urlaub"),"",IF(J357="","",VLOOKUP(D357,Dienste!C:W,12,)))</f>
        <v/>
      </c>
      <c r="Y357" s="19" t="str">
        <f>IF(OR(J357="Krankenstand",J357="Urlaub"),"",IF(J357="","",VLOOKUP(D357,Dienste!C:W,14,)))</f>
        <v/>
      </c>
      <c r="Z357" s="20" t="str">
        <f>IF(OR(J357="Krankenstand",J357="Urlaub"),"",IF(J357="","",VLOOKUP(D357,Dienste!C:W,15,)))</f>
        <v/>
      </c>
      <c r="AA357" s="124" t="str">
        <f t="shared" si="173"/>
        <v/>
      </c>
      <c r="AB357" s="19" t="str">
        <f t="shared" si="174"/>
        <v/>
      </c>
      <c r="AC357" s="126" t="str">
        <f>_xlfn.CONCAT(_xlfn.CONCAT(IF(I357="","",_xlfn.CONCAT("FT: ",I357,IF(J357="","","; "))),IF(B357&lt;Datenblatt!$B$9,"",IF(B357="","",IF(NOT(J357=""),SUBSTITUTE(SUBSTITUTE(SUBSTITUTE(J357," mR","")," oR","")," O",""),"")))),IF(AF357="","",_xlfn.CONCAT(CHAR(10),"; ",AF357)))</f>
        <v/>
      </c>
      <c r="AD357" s="124" t="str">
        <f t="shared" si="183"/>
        <v/>
      </c>
      <c r="AE357" s="19">
        <f t="shared" si="175"/>
        <v>0</v>
      </c>
      <c r="AF357" s="156"/>
    </row>
    <row r="358" spans="1:32" s="9" customFormat="1" ht="13">
      <c r="B358" s="6">
        <f t="shared" si="176"/>
        <v>44838</v>
      </c>
      <c r="C358" s="45">
        <f>SMALL(Daten!W:W,COUNTIF(Daten!W:W,"&lt;"&amp;Stundenaufzeichnung!B358+1))</f>
        <v>44578</v>
      </c>
      <c r="D358" s="45" t="str">
        <f t="shared" si="171"/>
        <v/>
      </c>
      <c r="E358" s="8">
        <f t="shared" si="172"/>
        <v>4</v>
      </c>
      <c r="F358" s="8">
        <f t="shared" si="177"/>
        <v>2</v>
      </c>
      <c r="G358" s="8">
        <f>IF(B358="","",VLOOKUP(E358,Datenblatt!$L$2:$N$8,3,FALSE))</f>
        <v>0</v>
      </c>
      <c r="H358" s="8" t="str">
        <f t="shared" si="178"/>
        <v/>
      </c>
      <c r="I358" s="11" t="str">
        <f>IFERROR(VLOOKUP(B358,Datenblatt!$E:$F,2,FALSE),"")</f>
        <v/>
      </c>
      <c r="J358" s="113"/>
      <c r="K358" s="19">
        <f>IF(B358&lt;Datenblatt!$B$9,"",IF(B358="","",IF(G358=0,Datenblatt!$B$7,"")))</f>
        <v>6.67</v>
      </c>
      <c r="L358" s="19" t="str">
        <f t="shared" si="179"/>
        <v/>
      </c>
      <c r="M358" s="124" t="str">
        <f t="shared" si="180"/>
        <v/>
      </c>
      <c r="N358" s="124" t="str">
        <f>IF(AND(L358=Datenblatt!$B$7,NOT(L357=Datenblatt!$B$7),NOT(L359=Datenblatt!$B$7)),"y",IF(AND(L358=Datenblatt!$B$7,L359=Datenblatt!$B$7,NOT(L357=Datenblatt!$B$7)),"a",IF(AND(L358=Datenblatt!$B$7,L357=Datenblatt!$B$7,NOT(L359=Datenblatt!$B$7)),"b","")))</f>
        <v/>
      </c>
      <c r="O358" s="19" t="str">
        <f t="shared" si="181"/>
        <v/>
      </c>
      <c r="P358" s="124" t="str">
        <f>IF(AND(M358=Datenblatt!$B$7,NOT(M357=Datenblatt!$B$7),NOT(M359=Datenblatt!$B$7)),"y",IF(AND(M358=Datenblatt!$B$7,M359=Datenblatt!$B$7,NOT(M357=Datenblatt!$B$7)),"a",IF(AND(M358=Datenblatt!$B$7,M357=Datenblatt!$B$7,NOT(M359=Datenblatt!$B$7)),"b","")))</f>
        <v/>
      </c>
      <c r="Q358" s="19" t="str">
        <f t="shared" si="182"/>
        <v/>
      </c>
      <c r="R358" s="124" t="str">
        <f>IF(I358="","",IF(AND(OR(J358="Krankenstand",J358="Urlaub",J358=""), AND(G358=0,NOT(I358=""))),Datenblatt!$B$7,""))</f>
        <v/>
      </c>
      <c r="S358" s="19" t="str">
        <f>IF(OR(J358="Krankenstand",J358="Urlaub"),"",IF(J358="","",VLOOKUP(D358,Dienste!C:W,21,)))</f>
        <v/>
      </c>
      <c r="T358" s="18" t="str">
        <f>IF(OR(J358="Krankenstand",J358="Urlaub"),"",IF(J358="","",VLOOKUP(D358,Dienste!C:W,5,)))</f>
        <v/>
      </c>
      <c r="U358" s="18" t="str">
        <f>IF(OR(J358="Krankenstand",J358="Urlaub"),"",IF(J358="","",VLOOKUP(D358,Dienste!C:W,6,)))</f>
        <v/>
      </c>
      <c r="V358" s="18" t="str">
        <f>IF(OR(J358="Krankenstand",J358="Urlaub"),"",IF(J358="","",VLOOKUP(D358,Dienste!C:W,7,)))</f>
        <v/>
      </c>
      <c r="W358" s="18" t="str">
        <f>IF(OR(J358="Krankenstand",J358="Urlaub"),"",IF(J358="","",VLOOKUP(D358,Dienste!C:W,11,)))</f>
        <v/>
      </c>
      <c r="X358" s="18" t="str">
        <f>IF(OR(J358="Krankenstand",J358="Urlaub"),"",IF(J358="","",VLOOKUP(D358,Dienste!C:W,12,)))</f>
        <v/>
      </c>
      <c r="Y358" s="19" t="str">
        <f>IF(OR(J358="Krankenstand",J358="Urlaub"),"",IF(J358="","",VLOOKUP(D358,Dienste!C:W,14,)))</f>
        <v/>
      </c>
      <c r="Z358" s="20" t="str">
        <f>IF(OR(J358="Krankenstand",J358="Urlaub"),"",IF(J358="","",VLOOKUP(D358,Dienste!C:W,15,)))</f>
        <v/>
      </c>
      <c r="AA358" s="124" t="str">
        <f t="shared" si="173"/>
        <v/>
      </c>
      <c r="AB358" s="19" t="str">
        <f t="shared" si="174"/>
        <v/>
      </c>
      <c r="AC358" s="126" t="str">
        <f>_xlfn.CONCAT(_xlfn.CONCAT(IF(I358="","",_xlfn.CONCAT("FT: ",I358,IF(J358="","","; "))),IF(B358&lt;Datenblatt!$B$9,"",IF(B358="","",IF(NOT(J358=""),SUBSTITUTE(SUBSTITUTE(SUBSTITUTE(J358," mR","")," oR","")," O",""),"")))),IF(AF358="","",_xlfn.CONCAT(CHAR(10),"; ",AF358)))</f>
        <v/>
      </c>
      <c r="AD358" s="124" t="str">
        <f t="shared" si="183"/>
        <v/>
      </c>
      <c r="AE358" s="19">
        <f t="shared" si="175"/>
        <v>0</v>
      </c>
      <c r="AF358" s="156"/>
    </row>
    <row r="359" spans="1:32" s="9" customFormat="1" ht="13">
      <c r="B359" s="6">
        <f t="shared" si="176"/>
        <v>44839</v>
      </c>
      <c r="C359" s="45">
        <f>SMALL(Daten!W:W,COUNTIF(Daten!W:W,"&lt;"&amp;Stundenaufzeichnung!B359+1))</f>
        <v>44578</v>
      </c>
      <c r="D359" s="45" t="str">
        <f t="shared" si="171"/>
        <v/>
      </c>
      <c r="E359" s="8">
        <f t="shared" si="172"/>
        <v>5</v>
      </c>
      <c r="F359" s="8">
        <f t="shared" si="177"/>
        <v>3</v>
      </c>
      <c r="G359" s="8">
        <f>IF(B359="","",VLOOKUP(E359,Datenblatt!$L$2:$N$8,3,FALSE))</f>
        <v>0</v>
      </c>
      <c r="H359" s="8" t="str">
        <f t="shared" si="178"/>
        <v/>
      </c>
      <c r="I359" s="11" t="str">
        <f>IFERROR(VLOOKUP(B359,Datenblatt!$E:$F,2,FALSE),"")</f>
        <v/>
      </c>
      <c r="J359" s="113"/>
      <c r="K359" s="19">
        <f>IF(B359&lt;Datenblatt!$B$9,"",IF(B359="","",IF(G359=0,Datenblatt!$B$7,"")))</f>
        <v>6.67</v>
      </c>
      <c r="L359" s="19" t="str">
        <f t="shared" si="179"/>
        <v/>
      </c>
      <c r="M359" s="124" t="str">
        <f t="shared" si="180"/>
        <v/>
      </c>
      <c r="N359" s="124" t="str">
        <f>IF(AND(L359=Datenblatt!$B$7,NOT(L358=Datenblatt!$B$7),NOT(L360=Datenblatt!$B$7)),"y",IF(AND(L359=Datenblatt!$B$7,L360=Datenblatt!$B$7,NOT(L358=Datenblatt!$B$7)),"a",IF(AND(L359=Datenblatt!$B$7,L358=Datenblatt!$B$7,NOT(L360=Datenblatt!$B$7)),"b","")))</f>
        <v/>
      </c>
      <c r="O359" s="19" t="str">
        <f t="shared" si="181"/>
        <v/>
      </c>
      <c r="P359" s="124" t="str">
        <f>IF(AND(M359=Datenblatt!$B$7,NOT(M358=Datenblatt!$B$7),NOT(M360=Datenblatt!$B$7)),"y",IF(AND(M359=Datenblatt!$B$7,M360=Datenblatt!$B$7,NOT(M358=Datenblatt!$B$7)),"a",IF(AND(M359=Datenblatt!$B$7,M358=Datenblatt!$B$7,NOT(M360=Datenblatt!$B$7)),"b","")))</f>
        <v/>
      </c>
      <c r="Q359" s="19" t="str">
        <f t="shared" si="182"/>
        <v/>
      </c>
      <c r="R359" s="124" t="str">
        <f>IF(I359="","",IF(AND(OR(J359="Krankenstand",J359="Urlaub",J359=""), AND(G359=0,NOT(I359=""))),Datenblatt!$B$7,""))</f>
        <v/>
      </c>
      <c r="S359" s="19" t="str">
        <f>IF(OR(J359="Krankenstand",J359="Urlaub"),"",IF(J359="","",VLOOKUP(D359,Dienste!C:W,21,)))</f>
        <v/>
      </c>
      <c r="T359" s="18" t="str">
        <f>IF(OR(J359="Krankenstand",J359="Urlaub"),"",IF(J359="","",VLOOKUP(D359,Dienste!C:W,5,)))</f>
        <v/>
      </c>
      <c r="U359" s="18" t="str">
        <f>IF(OR(J359="Krankenstand",J359="Urlaub"),"",IF(J359="","",VLOOKUP(D359,Dienste!C:W,6,)))</f>
        <v/>
      </c>
      <c r="V359" s="18" t="str">
        <f>IF(OR(J359="Krankenstand",J359="Urlaub"),"",IF(J359="","",VLOOKUP(D359,Dienste!C:W,7,)))</f>
        <v/>
      </c>
      <c r="W359" s="18" t="str">
        <f>IF(OR(J359="Krankenstand",J359="Urlaub"),"",IF(J359="","",VLOOKUP(D359,Dienste!C:W,11,)))</f>
        <v/>
      </c>
      <c r="X359" s="18" t="str">
        <f>IF(OR(J359="Krankenstand",J359="Urlaub"),"",IF(J359="","",VLOOKUP(D359,Dienste!C:W,12,)))</f>
        <v/>
      </c>
      <c r="Y359" s="19" t="str">
        <f>IF(OR(J359="Krankenstand",J359="Urlaub"),"",IF(J359="","",VLOOKUP(D359,Dienste!C:W,14,)))</f>
        <v/>
      </c>
      <c r="Z359" s="20" t="str">
        <f>IF(OR(J359="Krankenstand",J359="Urlaub"),"",IF(J359="","",VLOOKUP(D359,Dienste!C:W,15,)))</f>
        <v/>
      </c>
      <c r="AA359" s="124" t="str">
        <f t="shared" si="173"/>
        <v/>
      </c>
      <c r="AB359" s="19" t="str">
        <f t="shared" si="174"/>
        <v/>
      </c>
      <c r="AC359" s="126" t="str">
        <f>_xlfn.CONCAT(_xlfn.CONCAT(IF(I359="","",_xlfn.CONCAT("FT: ",I359,IF(J359="","","; "))),IF(B359&lt;Datenblatt!$B$9,"",IF(B359="","",IF(NOT(J359=""),SUBSTITUTE(SUBSTITUTE(SUBSTITUTE(J359," mR","")," oR","")," O",""),"")))),IF(AF359="","",_xlfn.CONCAT(CHAR(10),"; ",AF359)))</f>
        <v/>
      </c>
      <c r="AD359" s="124" t="str">
        <f t="shared" si="183"/>
        <v/>
      </c>
      <c r="AE359" s="19">
        <f t="shared" si="175"/>
        <v>0</v>
      </c>
      <c r="AF359" s="156"/>
    </row>
    <row r="360" spans="1:32" s="9" customFormat="1" ht="13">
      <c r="B360" s="6">
        <f t="shared" si="176"/>
        <v>44840</v>
      </c>
      <c r="C360" s="45">
        <f>SMALL(Daten!W:W,COUNTIF(Daten!W:W,"&lt;"&amp;Stundenaufzeichnung!B360+1))</f>
        <v>44578</v>
      </c>
      <c r="D360" s="45" t="str">
        <f t="shared" si="171"/>
        <v/>
      </c>
      <c r="E360" s="8">
        <f t="shared" si="172"/>
        <v>6</v>
      </c>
      <c r="F360" s="8">
        <f t="shared" si="177"/>
        <v>4</v>
      </c>
      <c r="G360" s="8">
        <f>IF(B360="","",VLOOKUP(E360,Datenblatt!$L$2:$N$8,3,FALSE))</f>
        <v>0</v>
      </c>
      <c r="H360" s="8" t="str">
        <f t="shared" si="178"/>
        <v/>
      </c>
      <c r="I360" s="11" t="str">
        <f>IFERROR(VLOOKUP(B360,Datenblatt!$E:$F,2,FALSE),"")</f>
        <v/>
      </c>
      <c r="J360" s="113"/>
      <c r="K360" s="19">
        <f>IF(B360&lt;Datenblatt!$B$9,"",IF(B360="","",IF(G360=0,Datenblatt!$B$7,"")))</f>
        <v>6.67</v>
      </c>
      <c r="L360" s="19" t="str">
        <f t="shared" si="179"/>
        <v/>
      </c>
      <c r="M360" s="124" t="str">
        <f t="shared" si="180"/>
        <v/>
      </c>
      <c r="N360" s="124" t="str">
        <f>IF(AND(L360=Datenblatt!$B$7,NOT(L359=Datenblatt!$B$7),NOT(L361=Datenblatt!$B$7)),"y",IF(AND(L360=Datenblatt!$B$7,L361=Datenblatt!$B$7,NOT(L359=Datenblatt!$B$7)),"a",IF(AND(L360=Datenblatt!$B$7,L359=Datenblatt!$B$7,NOT(L361=Datenblatt!$B$7)),"b","")))</f>
        <v/>
      </c>
      <c r="O360" s="19" t="str">
        <f t="shared" si="181"/>
        <v/>
      </c>
      <c r="P360" s="124" t="str">
        <f>IF(AND(M360=Datenblatt!$B$7,NOT(M359=Datenblatt!$B$7),NOT(M361=Datenblatt!$B$7)),"y",IF(AND(M360=Datenblatt!$B$7,M361=Datenblatt!$B$7,NOT(M359=Datenblatt!$B$7)),"a",IF(AND(M360=Datenblatt!$B$7,M359=Datenblatt!$B$7,NOT(M361=Datenblatt!$B$7)),"b","")))</f>
        <v/>
      </c>
      <c r="Q360" s="19" t="str">
        <f t="shared" si="182"/>
        <v/>
      </c>
      <c r="R360" s="124" t="str">
        <f>IF(I360="","",IF(AND(OR(J360="Krankenstand",J360="Urlaub",J360=""), AND(G360=0,NOT(I360=""))),Datenblatt!$B$7,""))</f>
        <v/>
      </c>
      <c r="S360" s="19" t="str">
        <f>IF(OR(J360="Krankenstand",J360="Urlaub"),"",IF(J360="","",VLOOKUP(D360,Dienste!C:W,21,)))</f>
        <v/>
      </c>
      <c r="T360" s="18" t="str">
        <f>IF(OR(J360="Krankenstand",J360="Urlaub"),"",IF(J360="","",VLOOKUP(D360,Dienste!C:W,5,)))</f>
        <v/>
      </c>
      <c r="U360" s="18" t="str">
        <f>IF(OR(J360="Krankenstand",J360="Urlaub"),"",IF(J360="","",VLOOKUP(D360,Dienste!C:W,6,)))</f>
        <v/>
      </c>
      <c r="V360" s="18" t="str">
        <f>IF(OR(J360="Krankenstand",J360="Urlaub"),"",IF(J360="","",VLOOKUP(D360,Dienste!C:W,7,)))</f>
        <v/>
      </c>
      <c r="W360" s="18" t="str">
        <f>IF(OR(J360="Krankenstand",J360="Urlaub"),"",IF(J360="","",VLOOKUP(D360,Dienste!C:W,11,)))</f>
        <v/>
      </c>
      <c r="X360" s="18" t="str">
        <f>IF(OR(J360="Krankenstand",J360="Urlaub"),"",IF(J360="","",VLOOKUP(D360,Dienste!C:W,12,)))</f>
        <v/>
      </c>
      <c r="Y360" s="19" t="str">
        <f>IF(OR(J360="Krankenstand",J360="Urlaub"),"",IF(J360="","",VLOOKUP(D360,Dienste!C:W,14,)))</f>
        <v/>
      </c>
      <c r="Z360" s="20" t="str">
        <f>IF(OR(J360="Krankenstand",J360="Urlaub"),"",IF(J360="","",VLOOKUP(D360,Dienste!C:W,15,)))</f>
        <v/>
      </c>
      <c r="AA360" s="124" t="str">
        <f t="shared" si="173"/>
        <v/>
      </c>
      <c r="AB360" s="19" t="str">
        <f t="shared" si="174"/>
        <v/>
      </c>
      <c r="AC360" s="126" t="str">
        <f>_xlfn.CONCAT(_xlfn.CONCAT(IF(I360="","",_xlfn.CONCAT("FT: ",I360,IF(J360="","","; "))),IF(B360&lt;Datenblatt!$B$9,"",IF(B360="","",IF(NOT(J360=""),SUBSTITUTE(SUBSTITUTE(SUBSTITUTE(J360," mR","")," oR","")," O",""),"")))),IF(AF360="","",_xlfn.CONCAT(CHAR(10),"; ",AF360)))</f>
        <v/>
      </c>
      <c r="AD360" s="124" t="str">
        <f t="shared" si="183"/>
        <v/>
      </c>
      <c r="AE360" s="19">
        <f t="shared" si="175"/>
        <v>0</v>
      </c>
      <c r="AF360" s="156"/>
    </row>
    <row r="361" spans="1:32" s="9" customFormat="1" ht="13">
      <c r="B361" s="6">
        <f t="shared" si="176"/>
        <v>44841</v>
      </c>
      <c r="C361" s="45">
        <f>SMALL(Daten!W:W,COUNTIF(Daten!W:W,"&lt;"&amp;Stundenaufzeichnung!B361+1))</f>
        <v>44578</v>
      </c>
      <c r="D361" s="45" t="str">
        <f t="shared" si="171"/>
        <v/>
      </c>
      <c r="E361" s="8">
        <f t="shared" si="172"/>
        <v>7</v>
      </c>
      <c r="F361" s="8">
        <f t="shared" si="177"/>
        <v>5</v>
      </c>
      <c r="G361" s="8">
        <f>IF(B361="","",VLOOKUP(E361,Datenblatt!$L$2:$N$8,3,FALSE))</f>
        <v>0</v>
      </c>
      <c r="H361" s="8" t="str">
        <f t="shared" si="178"/>
        <v/>
      </c>
      <c r="I361" s="11" t="str">
        <f>IFERROR(VLOOKUP(B361,Datenblatt!$E:$F,2,FALSE),"")</f>
        <v/>
      </c>
      <c r="J361" s="113"/>
      <c r="K361" s="19">
        <f>IF(B361&lt;Datenblatt!$B$9,"",IF(B361="","",IF(G361=0,Datenblatt!$B$7,"")))</f>
        <v>6.67</v>
      </c>
      <c r="L361" s="19" t="str">
        <f t="shared" si="179"/>
        <v/>
      </c>
      <c r="M361" s="124" t="str">
        <f t="shared" si="180"/>
        <v/>
      </c>
      <c r="N361" s="124" t="str">
        <f>IF(AND(L361=Datenblatt!$B$7,NOT(L360=Datenblatt!$B$7),NOT(L362=Datenblatt!$B$7)),"y",IF(AND(L361=Datenblatt!$B$7,L362=Datenblatt!$B$7,NOT(L360=Datenblatt!$B$7)),"a",IF(AND(L361=Datenblatt!$B$7,L360=Datenblatt!$B$7,NOT(L362=Datenblatt!$B$7)),"b","")))</f>
        <v/>
      </c>
      <c r="O361" s="19" t="str">
        <f t="shared" si="181"/>
        <v/>
      </c>
      <c r="P361" s="124" t="str">
        <f>IF(AND(M361=Datenblatt!$B$7,NOT(M360=Datenblatt!$B$7),NOT(M362=Datenblatt!$B$7)),"y",IF(AND(M361=Datenblatt!$B$7,M362=Datenblatt!$B$7,NOT(M360=Datenblatt!$B$7)),"a",IF(AND(M361=Datenblatt!$B$7,M360=Datenblatt!$B$7,NOT(M362=Datenblatt!$B$7)),"b","")))</f>
        <v/>
      </c>
      <c r="Q361" s="19" t="str">
        <f t="shared" si="182"/>
        <v/>
      </c>
      <c r="R361" s="124" t="str">
        <f>IF(I361="","",IF(AND(OR(J361="Krankenstand",J361="Urlaub",J361=""), AND(G361=0,NOT(I361=""))),Datenblatt!$B$7,""))</f>
        <v/>
      </c>
      <c r="S361" s="19" t="str">
        <f>IF(OR(J361="Krankenstand",J361="Urlaub"),"",IF(J361="","",VLOOKUP(D361,Dienste!C:W,21,)))</f>
        <v/>
      </c>
      <c r="T361" s="18" t="str">
        <f>IF(OR(J361="Krankenstand",J361="Urlaub"),"",IF(J361="","",VLOOKUP(D361,Dienste!C:W,5,)))</f>
        <v/>
      </c>
      <c r="U361" s="18" t="str">
        <f>IF(OR(J361="Krankenstand",J361="Urlaub"),"",IF(J361="","",VLOOKUP(D361,Dienste!C:W,6,)))</f>
        <v/>
      </c>
      <c r="V361" s="18" t="str">
        <f>IF(OR(J361="Krankenstand",J361="Urlaub"),"",IF(J361="","",VLOOKUP(D361,Dienste!C:W,7,)))</f>
        <v/>
      </c>
      <c r="W361" s="18" t="str">
        <f>IF(OR(J361="Krankenstand",J361="Urlaub"),"",IF(J361="","",VLOOKUP(D361,Dienste!C:W,11,)))</f>
        <v/>
      </c>
      <c r="X361" s="18" t="str">
        <f>IF(OR(J361="Krankenstand",J361="Urlaub"),"",IF(J361="","",VLOOKUP(D361,Dienste!C:W,12,)))</f>
        <v/>
      </c>
      <c r="Y361" s="19" t="str">
        <f>IF(OR(J361="Krankenstand",J361="Urlaub"),"",IF(J361="","",VLOOKUP(D361,Dienste!C:W,14,)))</f>
        <v/>
      </c>
      <c r="Z361" s="20" t="str">
        <f>IF(OR(J361="Krankenstand",J361="Urlaub"),"",IF(J361="","",VLOOKUP(D361,Dienste!C:W,15,)))</f>
        <v/>
      </c>
      <c r="AA361" s="124" t="str">
        <f t="shared" si="173"/>
        <v/>
      </c>
      <c r="AB361" s="19" t="str">
        <f t="shared" si="174"/>
        <v/>
      </c>
      <c r="AC361" s="126" t="str">
        <f>_xlfn.CONCAT(_xlfn.CONCAT(IF(I361="","",_xlfn.CONCAT("FT: ",I361,IF(J361="","","; "))),IF(B361&lt;Datenblatt!$B$9,"",IF(B361="","",IF(NOT(J361=""),SUBSTITUTE(SUBSTITUTE(SUBSTITUTE(J361," mR","")," oR","")," O",""),"")))),IF(AF361="","",_xlfn.CONCAT(CHAR(10),"; ",AF361)))</f>
        <v/>
      </c>
      <c r="AD361" s="124" t="str">
        <f t="shared" si="183"/>
        <v/>
      </c>
      <c r="AE361" s="19">
        <f t="shared" si="175"/>
        <v>0</v>
      </c>
      <c r="AF361" s="156"/>
    </row>
    <row r="362" spans="1:32" s="9" customFormat="1" ht="13">
      <c r="B362" s="6">
        <f t="shared" si="176"/>
        <v>44842</v>
      </c>
      <c r="C362" s="45">
        <f>SMALL(Daten!W:W,COUNTIF(Daten!W:W,"&lt;"&amp;Stundenaufzeichnung!B362+1))</f>
        <v>44578</v>
      </c>
      <c r="D362" s="45" t="str">
        <f t="shared" si="171"/>
        <v/>
      </c>
      <c r="E362" s="8">
        <f t="shared" si="172"/>
        <v>1</v>
      </c>
      <c r="F362" s="8">
        <f t="shared" si="177"/>
        <v>6</v>
      </c>
      <c r="G362" s="8">
        <f>IF(B362="","",VLOOKUP(E362,Datenblatt!$L$2:$N$8,3,FALSE))</f>
        <v>0</v>
      </c>
      <c r="H362" s="8" t="str">
        <f t="shared" si="178"/>
        <v/>
      </c>
      <c r="I362" s="11" t="str">
        <f>IFERROR(VLOOKUP(B362,Datenblatt!$E:$F,2,FALSE),"")</f>
        <v/>
      </c>
      <c r="J362" s="113"/>
      <c r="K362" s="19">
        <f>IF(B362&lt;Datenblatt!$B$9,"",IF(B362="","",IF(G362=0,Datenblatt!$B$7,"")))</f>
        <v>6.67</v>
      </c>
      <c r="L362" s="19" t="str">
        <f t="shared" si="179"/>
        <v/>
      </c>
      <c r="M362" s="124" t="str">
        <f t="shared" si="180"/>
        <v/>
      </c>
      <c r="N362" s="124" t="str">
        <f>IF(AND(L362=Datenblatt!$B$7,NOT(L361=Datenblatt!$B$7),NOT(L363=Datenblatt!$B$7)),"y",IF(AND(L362=Datenblatt!$B$7,L363=Datenblatt!$B$7,NOT(L361=Datenblatt!$B$7)),"a",IF(AND(L362=Datenblatt!$B$7,L361=Datenblatt!$B$7,NOT(L363=Datenblatt!$B$7)),"b","")))</f>
        <v/>
      </c>
      <c r="O362" s="19" t="str">
        <f t="shared" si="181"/>
        <v/>
      </c>
      <c r="P362" s="124" t="str">
        <f>IF(AND(M362=Datenblatt!$B$7,NOT(M361=Datenblatt!$B$7),NOT(M363=Datenblatt!$B$7)),"y",IF(AND(M362=Datenblatt!$B$7,M363=Datenblatt!$B$7,NOT(M361=Datenblatt!$B$7)),"a",IF(AND(M362=Datenblatt!$B$7,M361=Datenblatt!$B$7,NOT(M363=Datenblatt!$B$7)),"b","")))</f>
        <v/>
      </c>
      <c r="Q362" s="19" t="str">
        <f t="shared" si="182"/>
        <v/>
      </c>
      <c r="R362" s="124" t="str">
        <f>IF(I362="","",IF(AND(OR(J362="Krankenstand",J362="Urlaub",J362=""), AND(G362=0,NOT(I362=""))),Datenblatt!$B$7,""))</f>
        <v/>
      </c>
      <c r="S362" s="19" t="str">
        <f>IF(OR(J362="Krankenstand",J362="Urlaub"),"",IF(J362="","",VLOOKUP(D362,Dienste!C:W,21,)))</f>
        <v/>
      </c>
      <c r="T362" s="18" t="str">
        <f>IF(OR(J362="Krankenstand",J362="Urlaub"),"",IF(J362="","",VLOOKUP(D362,Dienste!C:W,5,)))</f>
        <v/>
      </c>
      <c r="U362" s="18" t="str">
        <f>IF(OR(J362="Krankenstand",J362="Urlaub"),"",IF(J362="","",VLOOKUP(D362,Dienste!C:W,6,)))</f>
        <v/>
      </c>
      <c r="V362" s="18" t="str">
        <f>IF(OR(J362="Krankenstand",J362="Urlaub"),"",IF(J362="","",VLOOKUP(D362,Dienste!C:W,7,)))</f>
        <v/>
      </c>
      <c r="W362" s="18" t="str">
        <f>IF(OR(J362="Krankenstand",J362="Urlaub"),"",IF(J362="","",VLOOKUP(D362,Dienste!C:W,11,)))</f>
        <v/>
      </c>
      <c r="X362" s="18" t="str">
        <f>IF(OR(J362="Krankenstand",J362="Urlaub"),"",IF(J362="","",VLOOKUP(D362,Dienste!C:W,12,)))</f>
        <v/>
      </c>
      <c r="Y362" s="19" t="str">
        <f>IF(OR(J362="Krankenstand",J362="Urlaub"),"",IF(J362="","",VLOOKUP(D362,Dienste!C:W,14,)))</f>
        <v/>
      </c>
      <c r="Z362" s="20" t="str">
        <f>IF(OR(J362="Krankenstand",J362="Urlaub"),"",IF(J362="","",VLOOKUP(D362,Dienste!C:W,15,)))</f>
        <v/>
      </c>
      <c r="AA362" s="124" t="str">
        <f t="shared" si="173"/>
        <v/>
      </c>
      <c r="AB362" s="19" t="str">
        <f t="shared" si="174"/>
        <v/>
      </c>
      <c r="AC362" s="126" t="str">
        <f>_xlfn.CONCAT(_xlfn.CONCAT(IF(I362="","",_xlfn.CONCAT("FT: ",I362,IF(J362="","","; "))),IF(B362&lt;Datenblatt!$B$9,"",IF(B362="","",IF(NOT(J362=""),SUBSTITUTE(SUBSTITUTE(SUBSTITUTE(J362," mR","")," oR","")," O",""),"")))),IF(AF362="","",_xlfn.CONCAT(CHAR(10),"; ",AF362)))</f>
        <v/>
      </c>
      <c r="AD362" s="124" t="str">
        <f t="shared" si="183"/>
        <v/>
      </c>
      <c r="AE362" s="19">
        <f t="shared" si="175"/>
        <v>0</v>
      </c>
      <c r="AF362" s="156"/>
    </row>
    <row r="363" spans="1:32" s="9" customFormat="1" ht="13">
      <c r="B363" s="6">
        <f t="shared" si="176"/>
        <v>44843</v>
      </c>
      <c r="C363" s="45">
        <f>SMALL(Daten!W:W,COUNTIF(Daten!W:W,"&lt;"&amp;Stundenaufzeichnung!B363+1))</f>
        <v>44578</v>
      </c>
      <c r="D363" s="45" t="str">
        <f t="shared" si="171"/>
        <v/>
      </c>
      <c r="E363" s="8">
        <f t="shared" si="172"/>
        <v>2</v>
      </c>
      <c r="F363" s="8">
        <f t="shared" si="177"/>
        <v>7</v>
      </c>
      <c r="G363" s="8">
        <f>IF(B363="","",VLOOKUP(E363,Datenblatt!$L$2:$N$8,3,FALSE))</f>
        <v>1</v>
      </c>
      <c r="H363" s="8" t="str">
        <f t="shared" si="178"/>
        <v>x</v>
      </c>
      <c r="I363" s="11" t="str">
        <f>IFERROR(VLOOKUP(B363,Datenblatt!$E:$F,2,FALSE),"")</f>
        <v/>
      </c>
      <c r="J363" s="113"/>
      <c r="K363" s="19" t="str">
        <f>IF(B363&lt;Datenblatt!$B$9,"",IF(B363="","",IF(G363=0,Datenblatt!$B$7,"")))</f>
        <v/>
      </c>
      <c r="L363" s="19" t="str">
        <f t="shared" si="179"/>
        <v/>
      </c>
      <c r="M363" s="124" t="str">
        <f t="shared" si="180"/>
        <v/>
      </c>
      <c r="N363" s="124" t="str">
        <f>IF(AND(L363=Datenblatt!$B$7,NOT(L362=Datenblatt!$B$7),NOT(L364=Datenblatt!$B$7)),"y",IF(AND(L363=Datenblatt!$B$7,L364=Datenblatt!$B$7,NOT(L362=Datenblatt!$B$7)),"a",IF(AND(L363=Datenblatt!$B$7,L362=Datenblatt!$B$7,NOT(L364=Datenblatt!$B$7)),"b","")))</f>
        <v/>
      </c>
      <c r="O363" s="19" t="str">
        <f t="shared" si="181"/>
        <v/>
      </c>
      <c r="P363" s="124" t="str">
        <f>IF(AND(M363=Datenblatt!$B$7,NOT(M362=Datenblatt!$B$7),NOT(M364=Datenblatt!$B$7)),"y",IF(AND(M363=Datenblatt!$B$7,M364=Datenblatt!$B$7,NOT(M362=Datenblatt!$B$7)),"a",IF(AND(M363=Datenblatt!$B$7,M362=Datenblatt!$B$7,NOT(M364=Datenblatt!$B$7)),"b","")))</f>
        <v/>
      </c>
      <c r="Q363" s="19" t="str">
        <f t="shared" si="182"/>
        <v/>
      </c>
      <c r="R363" s="124" t="str">
        <f>IF(I363="","",IF(AND(OR(J363="Krankenstand",J363="Urlaub",J363=""), AND(G363=0,NOT(I363=""))),Datenblatt!$B$7,""))</f>
        <v/>
      </c>
      <c r="S363" s="19" t="str">
        <f>IF(OR(J363="Krankenstand",J363="Urlaub"),"",IF(J363="","",VLOOKUP(D363,Dienste!C:W,21,)))</f>
        <v/>
      </c>
      <c r="T363" s="18" t="str">
        <f>IF(OR(J363="Krankenstand",J363="Urlaub"),"",IF(J363="","",VLOOKUP(D363,Dienste!C:W,5,)))</f>
        <v/>
      </c>
      <c r="U363" s="18" t="str">
        <f>IF(OR(J363="Krankenstand",J363="Urlaub"),"",IF(J363="","",VLOOKUP(D363,Dienste!C:W,6,)))</f>
        <v/>
      </c>
      <c r="V363" s="18" t="str">
        <f>IF(OR(J363="Krankenstand",J363="Urlaub"),"",IF(J363="","",VLOOKUP(D363,Dienste!C:W,7,)))</f>
        <v/>
      </c>
      <c r="W363" s="18" t="str">
        <f>IF(OR(J363="Krankenstand",J363="Urlaub"),"",IF(J363="","",VLOOKUP(D363,Dienste!C:W,11,)))</f>
        <v/>
      </c>
      <c r="X363" s="18" t="str">
        <f>IF(OR(J363="Krankenstand",J363="Urlaub"),"",IF(J363="","",VLOOKUP(D363,Dienste!C:W,12,)))</f>
        <v/>
      </c>
      <c r="Y363" s="19" t="str">
        <f>IF(OR(J363="Krankenstand",J363="Urlaub"),"",IF(J363="","",VLOOKUP(D363,Dienste!C:W,14,)))</f>
        <v/>
      </c>
      <c r="Z363" s="20" t="str">
        <f>IF(OR(J363="Krankenstand",J363="Urlaub"),"",IF(J363="","",VLOOKUP(D363,Dienste!C:W,15,)))</f>
        <v/>
      </c>
      <c r="AA363" s="124" t="str">
        <f t="shared" si="173"/>
        <v/>
      </c>
      <c r="AB363" s="19" t="str">
        <f t="shared" si="174"/>
        <v/>
      </c>
      <c r="AC363" s="126" t="str">
        <f>_xlfn.CONCAT(_xlfn.CONCAT(IF(I363="","",_xlfn.CONCAT("FT: ",I363,IF(J363="","","; "))),IF(B363&lt;Datenblatt!$B$9,"",IF(B363="","",IF(NOT(J363=""),SUBSTITUTE(SUBSTITUTE(SUBSTITUTE(J363," mR","")," oR","")," O",""),"")))),IF(AF363="","",_xlfn.CONCAT(CHAR(10),"; ",AF363)))</f>
        <v/>
      </c>
      <c r="AD363" s="124" t="str">
        <f t="shared" si="183"/>
        <v/>
      </c>
      <c r="AE363" s="19">
        <f t="shared" si="175"/>
        <v>0</v>
      </c>
      <c r="AF363" s="156"/>
    </row>
    <row r="364" spans="1:32" s="9" customFormat="1" ht="13">
      <c r="B364" s="6">
        <f t="shared" si="176"/>
        <v>44844</v>
      </c>
      <c r="C364" s="45">
        <f>SMALL(Daten!W:W,COUNTIF(Daten!W:W,"&lt;"&amp;Stundenaufzeichnung!B364+1))</f>
        <v>44578</v>
      </c>
      <c r="D364" s="45" t="str">
        <f t="shared" si="171"/>
        <v/>
      </c>
      <c r="E364" s="8">
        <f t="shared" si="172"/>
        <v>3</v>
      </c>
      <c r="F364" s="8">
        <f t="shared" si="177"/>
        <v>1</v>
      </c>
      <c r="G364" s="8">
        <f>IF(B364="","",VLOOKUP(E364,Datenblatt!$L$2:$N$8,3,FALSE))</f>
        <v>0</v>
      </c>
      <c r="H364" s="8" t="str">
        <f t="shared" si="178"/>
        <v/>
      </c>
      <c r="I364" s="11" t="str">
        <f>IFERROR(VLOOKUP(B364,Datenblatt!$E:$F,2,FALSE),"")</f>
        <v/>
      </c>
      <c r="J364" s="113"/>
      <c r="K364" s="19">
        <f>IF(B364&lt;Datenblatt!$B$9,"",IF(B364="","",IF(G364=0,Datenblatt!$B$7,"")))</f>
        <v>6.67</v>
      </c>
      <c r="L364" s="19" t="str">
        <f t="shared" si="179"/>
        <v/>
      </c>
      <c r="M364" s="124" t="str">
        <f t="shared" si="180"/>
        <v/>
      </c>
      <c r="N364" s="124" t="str">
        <f>IF(AND(L364=Datenblatt!$B$7,NOT(L363=Datenblatt!$B$7),NOT(L365=Datenblatt!$B$7)),"y",IF(AND(L364=Datenblatt!$B$7,L365=Datenblatt!$B$7,NOT(L363=Datenblatt!$B$7)),"a",IF(AND(L364=Datenblatt!$B$7,L363=Datenblatt!$B$7,NOT(L365=Datenblatt!$B$7)),"b","")))</f>
        <v/>
      </c>
      <c r="O364" s="19" t="str">
        <f t="shared" si="181"/>
        <v/>
      </c>
      <c r="P364" s="124" t="str">
        <f>IF(AND(M364=Datenblatt!$B$7,NOT(M363=Datenblatt!$B$7),NOT(M365=Datenblatt!$B$7)),"y",IF(AND(M364=Datenblatt!$B$7,M365=Datenblatt!$B$7,NOT(M363=Datenblatt!$B$7)),"a",IF(AND(M364=Datenblatt!$B$7,M363=Datenblatt!$B$7,NOT(M365=Datenblatt!$B$7)),"b","")))</f>
        <v/>
      </c>
      <c r="Q364" s="19" t="str">
        <f t="shared" si="182"/>
        <v/>
      </c>
      <c r="R364" s="124" t="str">
        <f>IF(I364="","",IF(AND(OR(J364="Krankenstand",J364="Urlaub",J364=""), AND(G364=0,NOT(I364=""))),Datenblatt!$B$7,""))</f>
        <v/>
      </c>
      <c r="S364" s="19" t="str">
        <f>IF(OR(J364="Krankenstand",J364="Urlaub"),"",IF(J364="","",VLOOKUP(D364,Dienste!C:W,21,)))</f>
        <v/>
      </c>
      <c r="T364" s="18" t="str">
        <f>IF(OR(J364="Krankenstand",J364="Urlaub"),"",IF(J364="","",VLOOKUP(D364,Dienste!C:W,5,)))</f>
        <v/>
      </c>
      <c r="U364" s="18" t="str">
        <f>IF(OR(J364="Krankenstand",J364="Urlaub"),"",IF(J364="","",VLOOKUP(D364,Dienste!C:W,6,)))</f>
        <v/>
      </c>
      <c r="V364" s="18" t="str">
        <f>IF(OR(J364="Krankenstand",J364="Urlaub"),"",IF(J364="","",VLOOKUP(D364,Dienste!C:W,7,)))</f>
        <v/>
      </c>
      <c r="W364" s="18" t="str">
        <f>IF(OR(J364="Krankenstand",J364="Urlaub"),"",IF(J364="","",VLOOKUP(D364,Dienste!C:W,11,)))</f>
        <v/>
      </c>
      <c r="X364" s="18" t="str">
        <f>IF(OR(J364="Krankenstand",J364="Urlaub"),"",IF(J364="","",VLOOKUP(D364,Dienste!C:W,12,)))</f>
        <v/>
      </c>
      <c r="Y364" s="19" t="str">
        <f>IF(OR(J364="Krankenstand",J364="Urlaub"),"",IF(J364="","",VLOOKUP(D364,Dienste!C:W,14,)))</f>
        <v/>
      </c>
      <c r="Z364" s="20" t="str">
        <f>IF(OR(J364="Krankenstand",J364="Urlaub"),"",IF(J364="","",VLOOKUP(D364,Dienste!C:W,15,)))</f>
        <v/>
      </c>
      <c r="AA364" s="124" t="str">
        <f t="shared" si="173"/>
        <v/>
      </c>
      <c r="AB364" s="19" t="str">
        <f t="shared" si="174"/>
        <v/>
      </c>
      <c r="AC364" s="126" t="str">
        <f>_xlfn.CONCAT(_xlfn.CONCAT(IF(I364="","",_xlfn.CONCAT("FT: ",I364,IF(J364="","","; "))),IF(B364&lt;Datenblatt!$B$9,"",IF(B364="","",IF(NOT(J364=""),SUBSTITUTE(SUBSTITUTE(SUBSTITUTE(J364," mR","")," oR","")," O",""),"")))),IF(AF364="","",_xlfn.CONCAT(CHAR(10),"; ",AF364)))</f>
        <v/>
      </c>
      <c r="AD364" s="124" t="str">
        <f t="shared" si="183"/>
        <v/>
      </c>
      <c r="AE364" s="19">
        <f t="shared" si="175"/>
        <v>0</v>
      </c>
      <c r="AF364" s="156"/>
    </row>
    <row r="365" spans="1:32" s="9" customFormat="1" ht="13">
      <c r="B365" s="6">
        <f t="shared" si="176"/>
        <v>44845</v>
      </c>
      <c r="C365" s="45">
        <f>SMALL(Daten!W:W,COUNTIF(Daten!W:W,"&lt;"&amp;Stundenaufzeichnung!B365+1))</f>
        <v>44578</v>
      </c>
      <c r="D365" s="45" t="str">
        <f t="shared" si="171"/>
        <v/>
      </c>
      <c r="E365" s="8">
        <f t="shared" si="172"/>
        <v>4</v>
      </c>
      <c r="F365" s="8">
        <f t="shared" si="177"/>
        <v>2</v>
      </c>
      <c r="G365" s="8">
        <f>IF(B365="","",VLOOKUP(E365,Datenblatt!$L$2:$N$8,3,FALSE))</f>
        <v>0</v>
      </c>
      <c r="H365" s="8" t="str">
        <f t="shared" si="178"/>
        <v/>
      </c>
      <c r="I365" s="11" t="str">
        <f>IFERROR(VLOOKUP(B365,Datenblatt!$E:$F,2,FALSE),"")</f>
        <v/>
      </c>
      <c r="J365" s="113"/>
      <c r="K365" s="19">
        <f>IF(B365&lt;Datenblatt!$B$9,"",IF(B365="","",IF(G365=0,Datenblatt!$B$7,"")))</f>
        <v>6.67</v>
      </c>
      <c r="L365" s="19" t="str">
        <f t="shared" si="179"/>
        <v/>
      </c>
      <c r="M365" s="124" t="str">
        <f t="shared" si="180"/>
        <v/>
      </c>
      <c r="N365" s="124" t="str">
        <f>IF(AND(L365=Datenblatt!$B$7,NOT(L364=Datenblatt!$B$7),NOT(L366=Datenblatt!$B$7)),"y",IF(AND(L365=Datenblatt!$B$7,L366=Datenblatt!$B$7,NOT(L364=Datenblatt!$B$7)),"a",IF(AND(L365=Datenblatt!$B$7,L364=Datenblatt!$B$7,NOT(L366=Datenblatt!$B$7)),"b","")))</f>
        <v/>
      </c>
      <c r="O365" s="19" t="str">
        <f t="shared" si="181"/>
        <v/>
      </c>
      <c r="P365" s="124" t="str">
        <f>IF(AND(M365=Datenblatt!$B$7,NOT(M364=Datenblatt!$B$7),NOT(M366=Datenblatt!$B$7)),"y",IF(AND(M365=Datenblatt!$B$7,M366=Datenblatt!$B$7,NOT(M364=Datenblatt!$B$7)),"a",IF(AND(M365=Datenblatt!$B$7,M364=Datenblatt!$B$7,NOT(M366=Datenblatt!$B$7)),"b","")))</f>
        <v/>
      </c>
      <c r="Q365" s="19" t="str">
        <f t="shared" si="182"/>
        <v/>
      </c>
      <c r="R365" s="124" t="str">
        <f>IF(I365="","",IF(AND(OR(J365="Krankenstand",J365="Urlaub",J365=""), AND(G365=0,NOT(I365=""))),Datenblatt!$B$7,""))</f>
        <v/>
      </c>
      <c r="S365" s="19" t="str">
        <f>IF(OR(J365="Krankenstand",J365="Urlaub"),"",IF(J365="","",VLOOKUP(D365,Dienste!C:W,21,)))</f>
        <v/>
      </c>
      <c r="T365" s="18" t="str">
        <f>IF(OR(J365="Krankenstand",J365="Urlaub"),"",IF(J365="","",VLOOKUP(D365,Dienste!C:W,5,)))</f>
        <v/>
      </c>
      <c r="U365" s="18" t="str">
        <f>IF(OR(J365="Krankenstand",J365="Urlaub"),"",IF(J365="","",VLOOKUP(D365,Dienste!C:W,6,)))</f>
        <v/>
      </c>
      <c r="V365" s="18" t="str">
        <f>IF(OR(J365="Krankenstand",J365="Urlaub"),"",IF(J365="","",VLOOKUP(D365,Dienste!C:W,7,)))</f>
        <v/>
      </c>
      <c r="W365" s="18" t="str">
        <f>IF(OR(J365="Krankenstand",J365="Urlaub"),"",IF(J365="","",VLOOKUP(D365,Dienste!C:W,11,)))</f>
        <v/>
      </c>
      <c r="X365" s="18" t="str">
        <f>IF(OR(J365="Krankenstand",J365="Urlaub"),"",IF(J365="","",VLOOKUP(D365,Dienste!C:W,12,)))</f>
        <v/>
      </c>
      <c r="Y365" s="19" t="str">
        <f>IF(OR(J365="Krankenstand",J365="Urlaub"),"",IF(J365="","",VLOOKUP(D365,Dienste!C:W,14,)))</f>
        <v/>
      </c>
      <c r="Z365" s="20" t="str">
        <f>IF(OR(J365="Krankenstand",J365="Urlaub"),"",IF(J365="","",VLOOKUP(D365,Dienste!C:W,15,)))</f>
        <v/>
      </c>
      <c r="AA365" s="124" t="str">
        <f t="shared" si="173"/>
        <v/>
      </c>
      <c r="AB365" s="19" t="str">
        <f t="shared" si="174"/>
        <v/>
      </c>
      <c r="AC365" s="126" t="str">
        <f>_xlfn.CONCAT(_xlfn.CONCAT(IF(I365="","",_xlfn.CONCAT("FT: ",I365,IF(J365="","","; "))),IF(B365&lt;Datenblatt!$B$9,"",IF(B365="","",IF(NOT(J365=""),SUBSTITUTE(SUBSTITUTE(SUBSTITUTE(J365," mR","")," oR","")," O",""),"")))),IF(AF365="","",_xlfn.CONCAT(CHAR(10),"; ",AF365)))</f>
        <v/>
      </c>
      <c r="AD365" s="124" t="str">
        <f t="shared" si="183"/>
        <v/>
      </c>
      <c r="AE365" s="19">
        <f t="shared" si="175"/>
        <v>0</v>
      </c>
      <c r="AF365" s="156"/>
    </row>
    <row r="366" spans="1:32" s="9" customFormat="1" ht="13">
      <c r="B366" s="6">
        <f t="shared" si="176"/>
        <v>44846</v>
      </c>
      <c r="C366" s="45">
        <f>SMALL(Daten!W:W,COUNTIF(Daten!W:W,"&lt;"&amp;Stundenaufzeichnung!B366+1))</f>
        <v>44578</v>
      </c>
      <c r="D366" s="45" t="str">
        <f t="shared" si="171"/>
        <v/>
      </c>
      <c r="E366" s="8">
        <f t="shared" si="172"/>
        <v>5</v>
      </c>
      <c r="F366" s="8">
        <f t="shared" si="177"/>
        <v>3</v>
      </c>
      <c r="G366" s="8">
        <f>IF(B366="","",VLOOKUP(E366,Datenblatt!$L$2:$N$8,3,FALSE))</f>
        <v>0</v>
      </c>
      <c r="H366" s="8" t="str">
        <f t="shared" si="178"/>
        <v/>
      </c>
      <c r="I366" s="11" t="str">
        <f>IFERROR(VLOOKUP(B366,Datenblatt!$E:$F,2,FALSE),"")</f>
        <v/>
      </c>
      <c r="J366" s="113"/>
      <c r="K366" s="19">
        <f>IF(B366&lt;Datenblatt!$B$9,"",IF(B366="","",IF(G366=0,Datenblatt!$B$7,"")))</f>
        <v>6.67</v>
      </c>
      <c r="L366" s="19" t="str">
        <f t="shared" si="179"/>
        <v/>
      </c>
      <c r="M366" s="124" t="str">
        <f t="shared" si="180"/>
        <v/>
      </c>
      <c r="N366" s="124" t="str">
        <f>IF(AND(L366=Datenblatt!$B$7,NOT(L365=Datenblatt!$B$7),NOT(L367=Datenblatt!$B$7)),"y",IF(AND(L366=Datenblatt!$B$7,L367=Datenblatt!$B$7,NOT(L365=Datenblatt!$B$7)),"a",IF(AND(L366=Datenblatt!$B$7,L365=Datenblatt!$B$7,NOT(L367=Datenblatt!$B$7)),"b","")))</f>
        <v/>
      </c>
      <c r="O366" s="19" t="str">
        <f t="shared" si="181"/>
        <v/>
      </c>
      <c r="P366" s="124" t="str">
        <f>IF(AND(M366=Datenblatt!$B$7,NOT(M365=Datenblatt!$B$7),NOT(M367=Datenblatt!$B$7)),"y",IF(AND(M366=Datenblatt!$B$7,M367=Datenblatt!$B$7,NOT(M365=Datenblatt!$B$7)),"a",IF(AND(M366=Datenblatt!$B$7,M365=Datenblatt!$B$7,NOT(M367=Datenblatt!$B$7)),"b","")))</f>
        <v/>
      </c>
      <c r="Q366" s="19" t="str">
        <f t="shared" si="182"/>
        <v/>
      </c>
      <c r="R366" s="124" t="str">
        <f>IF(I366="","",IF(AND(OR(J366="Krankenstand",J366="Urlaub",J366=""), AND(G366=0,NOT(I366=""))),Datenblatt!$B$7,""))</f>
        <v/>
      </c>
      <c r="S366" s="19" t="str">
        <f>IF(OR(J366="Krankenstand",J366="Urlaub"),"",IF(J366="","",VLOOKUP(D366,Dienste!C:W,21,)))</f>
        <v/>
      </c>
      <c r="T366" s="18" t="str">
        <f>IF(OR(J366="Krankenstand",J366="Urlaub"),"",IF(J366="","",VLOOKUP(D366,Dienste!C:W,5,)))</f>
        <v/>
      </c>
      <c r="U366" s="18" t="str">
        <f>IF(OR(J366="Krankenstand",J366="Urlaub"),"",IF(J366="","",VLOOKUP(D366,Dienste!C:W,6,)))</f>
        <v/>
      </c>
      <c r="V366" s="18" t="str">
        <f>IF(OR(J366="Krankenstand",J366="Urlaub"),"",IF(J366="","",VLOOKUP(D366,Dienste!C:W,7,)))</f>
        <v/>
      </c>
      <c r="W366" s="18" t="str">
        <f>IF(OR(J366="Krankenstand",J366="Urlaub"),"",IF(J366="","",VLOOKUP(D366,Dienste!C:W,11,)))</f>
        <v/>
      </c>
      <c r="X366" s="18" t="str">
        <f>IF(OR(J366="Krankenstand",J366="Urlaub"),"",IF(J366="","",VLOOKUP(D366,Dienste!C:W,12,)))</f>
        <v/>
      </c>
      <c r="Y366" s="19" t="str">
        <f>IF(OR(J366="Krankenstand",J366="Urlaub"),"",IF(J366="","",VLOOKUP(D366,Dienste!C:W,14,)))</f>
        <v/>
      </c>
      <c r="Z366" s="20" t="str">
        <f>IF(OR(J366="Krankenstand",J366="Urlaub"),"",IF(J366="","",VLOOKUP(D366,Dienste!C:W,15,)))</f>
        <v/>
      </c>
      <c r="AA366" s="124" t="str">
        <f t="shared" si="173"/>
        <v/>
      </c>
      <c r="AB366" s="19" t="str">
        <f t="shared" si="174"/>
        <v/>
      </c>
      <c r="AC366" s="126" t="str">
        <f>_xlfn.CONCAT(_xlfn.CONCAT(IF(I366="","",_xlfn.CONCAT("FT: ",I366,IF(J366="","","; "))),IF(B366&lt;Datenblatt!$B$9,"",IF(B366="","",IF(NOT(J366=""),SUBSTITUTE(SUBSTITUTE(SUBSTITUTE(J366," mR","")," oR","")," O",""),"")))),IF(AF366="","",_xlfn.CONCAT(CHAR(10),"; ",AF366)))</f>
        <v/>
      </c>
      <c r="AD366" s="124" t="str">
        <f t="shared" si="183"/>
        <v/>
      </c>
      <c r="AE366" s="19">
        <f t="shared" si="175"/>
        <v>0</v>
      </c>
      <c r="AF366" s="156"/>
    </row>
    <row r="367" spans="1:32" s="9" customFormat="1" ht="13">
      <c r="B367" s="6">
        <f t="shared" si="176"/>
        <v>44847</v>
      </c>
      <c r="C367" s="45">
        <f>SMALL(Daten!W:W,COUNTIF(Daten!W:W,"&lt;"&amp;Stundenaufzeichnung!B367+1))</f>
        <v>44578</v>
      </c>
      <c r="D367" s="45" t="str">
        <f t="shared" si="171"/>
        <v/>
      </c>
      <c r="E367" s="8">
        <f t="shared" si="172"/>
        <v>6</v>
      </c>
      <c r="F367" s="8">
        <f t="shared" si="177"/>
        <v>4</v>
      </c>
      <c r="G367" s="8">
        <f>IF(B367="","",VLOOKUP(E367,Datenblatt!$L$2:$N$8,3,FALSE))</f>
        <v>0</v>
      </c>
      <c r="H367" s="8" t="str">
        <f t="shared" si="178"/>
        <v/>
      </c>
      <c r="I367" s="11" t="str">
        <f>IFERROR(VLOOKUP(B367,Datenblatt!$E:$F,2,FALSE),"")</f>
        <v/>
      </c>
      <c r="J367" s="113"/>
      <c r="K367" s="19">
        <f>IF(B367&lt;Datenblatt!$B$9,"",IF(B367="","",IF(G367=0,Datenblatt!$B$7,"")))</f>
        <v>6.67</v>
      </c>
      <c r="L367" s="19" t="str">
        <f t="shared" si="179"/>
        <v/>
      </c>
      <c r="M367" s="124" t="str">
        <f t="shared" si="180"/>
        <v/>
      </c>
      <c r="N367" s="124" t="str">
        <f>IF(AND(L367=Datenblatt!$B$7,NOT(L366=Datenblatt!$B$7),NOT(L368=Datenblatt!$B$7)),"y",IF(AND(L367=Datenblatt!$B$7,L368=Datenblatt!$B$7,NOT(L366=Datenblatt!$B$7)),"a",IF(AND(L367=Datenblatt!$B$7,L366=Datenblatt!$B$7,NOT(L368=Datenblatt!$B$7)),"b","")))</f>
        <v/>
      </c>
      <c r="O367" s="19" t="str">
        <f t="shared" si="181"/>
        <v/>
      </c>
      <c r="P367" s="124" t="str">
        <f>IF(AND(M367=Datenblatt!$B$7,NOT(M366=Datenblatt!$B$7),NOT(M368=Datenblatt!$B$7)),"y",IF(AND(M367=Datenblatt!$B$7,M368=Datenblatt!$B$7,NOT(M366=Datenblatt!$B$7)),"a",IF(AND(M367=Datenblatt!$B$7,M366=Datenblatt!$B$7,NOT(M368=Datenblatt!$B$7)),"b","")))</f>
        <v/>
      </c>
      <c r="Q367" s="19" t="str">
        <f t="shared" si="182"/>
        <v/>
      </c>
      <c r="R367" s="124" t="str">
        <f>IF(I367="","",IF(AND(OR(J367="Krankenstand",J367="Urlaub",J367=""), AND(G367=0,NOT(I367=""))),Datenblatt!$B$7,""))</f>
        <v/>
      </c>
      <c r="S367" s="19" t="str">
        <f>IF(OR(J367="Krankenstand",J367="Urlaub"),"",IF(J367="","",VLOOKUP(D367,Dienste!C:W,21,)))</f>
        <v/>
      </c>
      <c r="T367" s="18" t="str">
        <f>IF(OR(J367="Krankenstand",J367="Urlaub"),"",IF(J367="","",VLOOKUP(D367,Dienste!C:W,5,)))</f>
        <v/>
      </c>
      <c r="U367" s="18" t="str">
        <f>IF(OR(J367="Krankenstand",J367="Urlaub"),"",IF(J367="","",VLOOKUP(D367,Dienste!C:W,6,)))</f>
        <v/>
      </c>
      <c r="V367" s="18" t="str">
        <f>IF(OR(J367="Krankenstand",J367="Urlaub"),"",IF(J367="","",VLOOKUP(D367,Dienste!C:W,7,)))</f>
        <v/>
      </c>
      <c r="W367" s="18" t="str">
        <f>IF(OR(J367="Krankenstand",J367="Urlaub"),"",IF(J367="","",VLOOKUP(D367,Dienste!C:W,11,)))</f>
        <v/>
      </c>
      <c r="X367" s="18" t="str">
        <f>IF(OR(J367="Krankenstand",J367="Urlaub"),"",IF(J367="","",VLOOKUP(D367,Dienste!C:W,12,)))</f>
        <v/>
      </c>
      <c r="Y367" s="19" t="str">
        <f>IF(OR(J367="Krankenstand",J367="Urlaub"),"",IF(J367="","",VLOOKUP(D367,Dienste!C:W,14,)))</f>
        <v/>
      </c>
      <c r="Z367" s="20" t="str">
        <f>IF(OR(J367="Krankenstand",J367="Urlaub"),"",IF(J367="","",VLOOKUP(D367,Dienste!C:W,15,)))</f>
        <v/>
      </c>
      <c r="AA367" s="124" t="str">
        <f t="shared" si="173"/>
        <v/>
      </c>
      <c r="AB367" s="19" t="str">
        <f t="shared" si="174"/>
        <v/>
      </c>
      <c r="AC367" s="126" t="str">
        <f>_xlfn.CONCAT(_xlfn.CONCAT(IF(I367="","",_xlfn.CONCAT("FT: ",I367,IF(J367="","","; "))),IF(B367&lt;Datenblatt!$B$9,"",IF(B367="","",IF(NOT(J367=""),SUBSTITUTE(SUBSTITUTE(SUBSTITUTE(J367," mR","")," oR","")," O",""),"")))),IF(AF367="","",_xlfn.CONCAT(CHAR(10),"; ",AF367)))</f>
        <v/>
      </c>
      <c r="AD367" s="124" t="str">
        <f t="shared" si="183"/>
        <v/>
      </c>
      <c r="AE367" s="19">
        <f t="shared" si="175"/>
        <v>0</v>
      </c>
      <c r="AF367" s="156"/>
    </row>
    <row r="368" spans="1:32" s="9" customFormat="1" ht="13">
      <c r="B368" s="6">
        <f t="shared" si="176"/>
        <v>44848</v>
      </c>
      <c r="C368" s="45">
        <f>SMALL(Daten!W:W,COUNTIF(Daten!W:W,"&lt;"&amp;Stundenaufzeichnung!B368+1))</f>
        <v>44578</v>
      </c>
      <c r="D368" s="45" t="str">
        <f t="shared" si="171"/>
        <v/>
      </c>
      <c r="E368" s="8">
        <f t="shared" si="172"/>
        <v>7</v>
      </c>
      <c r="F368" s="8">
        <f t="shared" si="177"/>
        <v>5</v>
      </c>
      <c r="G368" s="8">
        <f>IF(B368="","",VLOOKUP(E368,Datenblatt!$L$2:$N$8,3,FALSE))</f>
        <v>0</v>
      </c>
      <c r="H368" s="8" t="str">
        <f t="shared" si="178"/>
        <v/>
      </c>
      <c r="I368" s="11" t="str">
        <f>IFERROR(VLOOKUP(B368,Datenblatt!$E:$F,2,FALSE),"")</f>
        <v/>
      </c>
      <c r="J368" s="113"/>
      <c r="K368" s="19">
        <f>IF(B368&lt;Datenblatt!$B$9,"",IF(B368="","",IF(G368=0,Datenblatt!$B$7,"")))</f>
        <v>6.67</v>
      </c>
      <c r="L368" s="19" t="str">
        <f t="shared" si="179"/>
        <v/>
      </c>
      <c r="M368" s="124" t="str">
        <f t="shared" si="180"/>
        <v/>
      </c>
      <c r="N368" s="124" t="str">
        <f>IF(AND(L368=Datenblatt!$B$7,NOT(L367=Datenblatt!$B$7),NOT(L369=Datenblatt!$B$7)),"y",IF(AND(L368=Datenblatt!$B$7,L369=Datenblatt!$B$7,NOT(L367=Datenblatt!$B$7)),"a",IF(AND(L368=Datenblatt!$B$7,L367=Datenblatt!$B$7,NOT(L369=Datenblatt!$B$7)),"b","")))</f>
        <v/>
      </c>
      <c r="O368" s="19" t="str">
        <f t="shared" si="181"/>
        <v/>
      </c>
      <c r="P368" s="124" t="str">
        <f>IF(AND(M368=Datenblatt!$B$7,NOT(M367=Datenblatt!$B$7),NOT(M369=Datenblatt!$B$7)),"y",IF(AND(M368=Datenblatt!$B$7,M369=Datenblatt!$B$7,NOT(M367=Datenblatt!$B$7)),"a",IF(AND(M368=Datenblatt!$B$7,M367=Datenblatt!$B$7,NOT(M369=Datenblatt!$B$7)),"b","")))</f>
        <v/>
      </c>
      <c r="Q368" s="19" t="str">
        <f t="shared" si="182"/>
        <v/>
      </c>
      <c r="R368" s="124" t="str">
        <f>IF(I368="","",IF(AND(OR(J368="Krankenstand",J368="Urlaub",J368=""), AND(G368=0,NOT(I368=""))),Datenblatt!$B$7,""))</f>
        <v/>
      </c>
      <c r="S368" s="19" t="str">
        <f>IF(OR(J368="Krankenstand",J368="Urlaub"),"",IF(J368="","",VLOOKUP(D368,Dienste!C:W,21,)))</f>
        <v/>
      </c>
      <c r="T368" s="18" t="str">
        <f>IF(OR(J368="Krankenstand",J368="Urlaub"),"",IF(J368="","",VLOOKUP(D368,Dienste!C:W,5,)))</f>
        <v/>
      </c>
      <c r="U368" s="18" t="str">
        <f>IF(OR(J368="Krankenstand",J368="Urlaub"),"",IF(J368="","",VLOOKUP(D368,Dienste!C:W,6,)))</f>
        <v/>
      </c>
      <c r="V368" s="18" t="str">
        <f>IF(OR(J368="Krankenstand",J368="Urlaub"),"",IF(J368="","",VLOOKUP(D368,Dienste!C:W,7,)))</f>
        <v/>
      </c>
      <c r="W368" s="18" t="str">
        <f>IF(OR(J368="Krankenstand",J368="Urlaub"),"",IF(J368="","",VLOOKUP(D368,Dienste!C:W,11,)))</f>
        <v/>
      </c>
      <c r="X368" s="18" t="str">
        <f>IF(OR(J368="Krankenstand",J368="Urlaub"),"",IF(J368="","",VLOOKUP(D368,Dienste!C:W,12,)))</f>
        <v/>
      </c>
      <c r="Y368" s="19" t="str">
        <f>IF(OR(J368="Krankenstand",J368="Urlaub"),"",IF(J368="","",VLOOKUP(D368,Dienste!C:W,14,)))</f>
        <v/>
      </c>
      <c r="Z368" s="20" t="str">
        <f>IF(OR(J368="Krankenstand",J368="Urlaub"),"",IF(J368="","",VLOOKUP(D368,Dienste!C:W,15,)))</f>
        <v/>
      </c>
      <c r="AA368" s="124" t="str">
        <f t="shared" si="173"/>
        <v/>
      </c>
      <c r="AB368" s="19" t="str">
        <f t="shared" si="174"/>
        <v/>
      </c>
      <c r="AC368" s="126" t="str">
        <f>_xlfn.CONCAT(_xlfn.CONCAT(IF(I368="","",_xlfn.CONCAT("FT: ",I368,IF(J368="","","; "))),IF(B368&lt;Datenblatt!$B$9,"",IF(B368="","",IF(NOT(J368=""),SUBSTITUTE(SUBSTITUTE(SUBSTITUTE(J368," mR","")," oR","")," O",""),"")))),IF(AF368="","",_xlfn.CONCAT(CHAR(10),"; ",AF368)))</f>
        <v/>
      </c>
      <c r="AD368" s="124" t="str">
        <f t="shared" si="183"/>
        <v/>
      </c>
      <c r="AE368" s="19">
        <f t="shared" si="175"/>
        <v>0</v>
      </c>
      <c r="AF368" s="156"/>
    </row>
    <row r="369" spans="2:32" s="9" customFormat="1" ht="13">
      <c r="B369" s="6">
        <f t="shared" si="176"/>
        <v>44849</v>
      </c>
      <c r="C369" s="45">
        <f>SMALL(Daten!W:W,COUNTIF(Daten!W:W,"&lt;"&amp;Stundenaufzeichnung!B369+1))</f>
        <v>44578</v>
      </c>
      <c r="D369" s="45" t="str">
        <f t="shared" si="171"/>
        <v/>
      </c>
      <c r="E369" s="8">
        <f t="shared" si="172"/>
        <v>1</v>
      </c>
      <c r="F369" s="8">
        <f t="shared" si="177"/>
        <v>6</v>
      </c>
      <c r="G369" s="8">
        <f>IF(B369="","",VLOOKUP(E369,Datenblatt!$L$2:$N$8,3,FALSE))</f>
        <v>0</v>
      </c>
      <c r="H369" s="8" t="str">
        <f t="shared" si="178"/>
        <v/>
      </c>
      <c r="I369" s="11" t="str">
        <f>IFERROR(VLOOKUP(B369,Datenblatt!$E:$F,2,FALSE),"")</f>
        <v/>
      </c>
      <c r="J369" s="113"/>
      <c r="K369" s="19">
        <f>IF(B369&lt;Datenblatt!$B$9,"",IF(B369="","",IF(G369=0,Datenblatt!$B$7,"")))</f>
        <v>6.67</v>
      </c>
      <c r="L369" s="19" t="str">
        <f t="shared" si="179"/>
        <v/>
      </c>
      <c r="M369" s="124" t="str">
        <f t="shared" si="180"/>
        <v/>
      </c>
      <c r="N369" s="124" t="str">
        <f>IF(AND(L369=Datenblatt!$B$7,NOT(L368=Datenblatt!$B$7),NOT(L370=Datenblatt!$B$7)),"y",IF(AND(L369=Datenblatt!$B$7,L370=Datenblatt!$B$7,NOT(L368=Datenblatt!$B$7)),"a",IF(AND(L369=Datenblatt!$B$7,L368=Datenblatt!$B$7,NOT(L370=Datenblatt!$B$7)),"b","")))</f>
        <v/>
      </c>
      <c r="O369" s="19" t="str">
        <f t="shared" si="181"/>
        <v/>
      </c>
      <c r="P369" s="124" t="str">
        <f>IF(AND(M369=Datenblatt!$B$7,NOT(M368=Datenblatt!$B$7),NOT(M370=Datenblatt!$B$7)),"y",IF(AND(M369=Datenblatt!$B$7,M370=Datenblatt!$B$7,NOT(M368=Datenblatt!$B$7)),"a",IF(AND(M369=Datenblatt!$B$7,M368=Datenblatt!$B$7,NOT(M370=Datenblatt!$B$7)),"b","")))</f>
        <v/>
      </c>
      <c r="Q369" s="19" t="str">
        <f t="shared" si="182"/>
        <v/>
      </c>
      <c r="R369" s="124" t="str">
        <f>IF(I369="","",IF(AND(OR(J369="Krankenstand",J369="Urlaub",J369=""), AND(G369=0,NOT(I369=""))),Datenblatt!$B$7,""))</f>
        <v/>
      </c>
      <c r="S369" s="19" t="str">
        <f>IF(OR(J369="Krankenstand",J369="Urlaub"),"",IF(J369="","",VLOOKUP(D369,Dienste!C:W,21,)))</f>
        <v/>
      </c>
      <c r="T369" s="18" t="str">
        <f>IF(OR(J369="Krankenstand",J369="Urlaub"),"",IF(J369="","",VLOOKUP(D369,Dienste!C:W,5,)))</f>
        <v/>
      </c>
      <c r="U369" s="18" t="str">
        <f>IF(OR(J369="Krankenstand",J369="Urlaub"),"",IF(J369="","",VLOOKUP(D369,Dienste!C:W,6,)))</f>
        <v/>
      </c>
      <c r="V369" s="18" t="str">
        <f>IF(OR(J369="Krankenstand",J369="Urlaub"),"",IF(J369="","",VLOOKUP(D369,Dienste!C:W,7,)))</f>
        <v/>
      </c>
      <c r="W369" s="18" t="str">
        <f>IF(OR(J369="Krankenstand",J369="Urlaub"),"",IF(J369="","",VLOOKUP(D369,Dienste!C:W,11,)))</f>
        <v/>
      </c>
      <c r="X369" s="18" t="str">
        <f>IF(OR(J369="Krankenstand",J369="Urlaub"),"",IF(J369="","",VLOOKUP(D369,Dienste!C:W,12,)))</f>
        <v/>
      </c>
      <c r="Y369" s="19" t="str">
        <f>IF(OR(J369="Krankenstand",J369="Urlaub"),"",IF(J369="","",VLOOKUP(D369,Dienste!C:W,14,)))</f>
        <v/>
      </c>
      <c r="Z369" s="20" t="str">
        <f>IF(OR(J369="Krankenstand",J369="Urlaub"),"",IF(J369="","",VLOOKUP(D369,Dienste!C:W,15,)))</f>
        <v/>
      </c>
      <c r="AA369" s="124" t="str">
        <f t="shared" si="173"/>
        <v/>
      </c>
      <c r="AB369" s="19" t="str">
        <f t="shared" si="174"/>
        <v/>
      </c>
      <c r="AC369" s="126" t="str">
        <f>_xlfn.CONCAT(_xlfn.CONCAT(IF(I369="","",_xlfn.CONCAT("FT: ",I369,IF(J369="","","; "))),IF(B369&lt;Datenblatt!$B$9,"",IF(B369="","",IF(NOT(J369=""),SUBSTITUTE(SUBSTITUTE(SUBSTITUTE(J369," mR","")," oR","")," O",""),"")))),IF(AF369="","",_xlfn.CONCAT(CHAR(10),"; ",AF369)))</f>
        <v/>
      </c>
      <c r="AD369" s="124" t="str">
        <f t="shared" si="183"/>
        <v/>
      </c>
      <c r="AE369" s="19">
        <f t="shared" si="175"/>
        <v>0</v>
      </c>
      <c r="AF369" s="156"/>
    </row>
    <row r="370" spans="2:32" s="9" customFormat="1" ht="13">
      <c r="B370" s="6">
        <f t="shared" si="176"/>
        <v>44850</v>
      </c>
      <c r="C370" s="45">
        <f>SMALL(Daten!W:W,COUNTIF(Daten!W:W,"&lt;"&amp;Stundenaufzeichnung!B370+1))</f>
        <v>44578</v>
      </c>
      <c r="D370" s="45" t="str">
        <f t="shared" si="171"/>
        <v/>
      </c>
      <c r="E370" s="8">
        <f t="shared" si="172"/>
        <v>2</v>
      </c>
      <c r="F370" s="8">
        <f t="shared" si="177"/>
        <v>7</v>
      </c>
      <c r="G370" s="8">
        <f>IF(B370="","",VLOOKUP(E370,Datenblatt!$L$2:$N$8,3,FALSE))</f>
        <v>1</v>
      </c>
      <c r="H370" s="8" t="str">
        <f t="shared" si="178"/>
        <v>x</v>
      </c>
      <c r="I370" s="11" t="str">
        <f>IFERROR(VLOOKUP(B370,Datenblatt!$E:$F,2,FALSE),"")</f>
        <v/>
      </c>
      <c r="J370" s="113"/>
      <c r="K370" s="19" t="str">
        <f>IF(B370&lt;Datenblatt!$B$9,"",IF(B370="","",IF(G370=0,Datenblatt!$B$7,"")))</f>
        <v/>
      </c>
      <c r="L370" s="19" t="str">
        <f t="shared" si="179"/>
        <v/>
      </c>
      <c r="M370" s="124" t="str">
        <f t="shared" si="180"/>
        <v/>
      </c>
      <c r="N370" s="124" t="str">
        <f>IF(AND(L370=Datenblatt!$B$7,NOT(L369=Datenblatt!$B$7),NOT(L371=Datenblatt!$B$7)),"y",IF(AND(L370=Datenblatt!$B$7,L371=Datenblatt!$B$7,NOT(L369=Datenblatt!$B$7)),"a",IF(AND(L370=Datenblatt!$B$7,L369=Datenblatt!$B$7,NOT(L371=Datenblatt!$B$7)),"b","")))</f>
        <v/>
      </c>
      <c r="O370" s="19" t="str">
        <f t="shared" si="181"/>
        <v/>
      </c>
      <c r="P370" s="124" t="str">
        <f>IF(AND(M370=Datenblatt!$B$7,NOT(M369=Datenblatt!$B$7),NOT(M371=Datenblatt!$B$7)),"y",IF(AND(M370=Datenblatt!$B$7,M371=Datenblatt!$B$7,NOT(M369=Datenblatt!$B$7)),"a",IF(AND(M370=Datenblatt!$B$7,M369=Datenblatt!$B$7,NOT(M371=Datenblatt!$B$7)),"b","")))</f>
        <v/>
      </c>
      <c r="Q370" s="19" t="str">
        <f t="shared" si="182"/>
        <v/>
      </c>
      <c r="R370" s="124" t="str">
        <f>IF(I370="","",IF(AND(OR(J370="Krankenstand",J370="Urlaub",J370=""), AND(G370=0,NOT(I370=""))),Datenblatt!$B$7,""))</f>
        <v/>
      </c>
      <c r="S370" s="19" t="str">
        <f>IF(OR(J370="Krankenstand",J370="Urlaub"),"",IF(J370="","",VLOOKUP(D370,Dienste!C:W,21,)))</f>
        <v/>
      </c>
      <c r="T370" s="18" t="str">
        <f>IF(OR(J370="Krankenstand",J370="Urlaub"),"",IF(J370="","",VLOOKUP(D370,Dienste!C:W,5,)))</f>
        <v/>
      </c>
      <c r="U370" s="18" t="str">
        <f>IF(OR(J370="Krankenstand",J370="Urlaub"),"",IF(J370="","",VLOOKUP(D370,Dienste!C:W,6,)))</f>
        <v/>
      </c>
      <c r="V370" s="18" t="str">
        <f>IF(OR(J370="Krankenstand",J370="Urlaub"),"",IF(J370="","",VLOOKUP(D370,Dienste!C:W,7,)))</f>
        <v/>
      </c>
      <c r="W370" s="18" t="str">
        <f>IF(OR(J370="Krankenstand",J370="Urlaub"),"",IF(J370="","",VLOOKUP(D370,Dienste!C:W,11,)))</f>
        <v/>
      </c>
      <c r="X370" s="18" t="str">
        <f>IF(OR(J370="Krankenstand",J370="Urlaub"),"",IF(J370="","",VLOOKUP(D370,Dienste!C:W,12,)))</f>
        <v/>
      </c>
      <c r="Y370" s="19" t="str">
        <f>IF(OR(J370="Krankenstand",J370="Urlaub"),"",IF(J370="","",VLOOKUP(D370,Dienste!C:W,14,)))</f>
        <v/>
      </c>
      <c r="Z370" s="20" t="str">
        <f>IF(OR(J370="Krankenstand",J370="Urlaub"),"",IF(J370="","",VLOOKUP(D370,Dienste!C:W,15,)))</f>
        <v/>
      </c>
      <c r="AA370" s="124" t="str">
        <f t="shared" si="173"/>
        <v/>
      </c>
      <c r="AB370" s="19" t="str">
        <f t="shared" si="174"/>
        <v/>
      </c>
      <c r="AC370" s="126" t="str">
        <f>_xlfn.CONCAT(_xlfn.CONCAT(IF(I370="","",_xlfn.CONCAT("FT: ",I370,IF(J370="","","; "))),IF(B370&lt;Datenblatt!$B$9,"",IF(B370="","",IF(NOT(J370=""),SUBSTITUTE(SUBSTITUTE(SUBSTITUTE(J370," mR","")," oR","")," O",""),"")))),IF(AF370="","",_xlfn.CONCAT(CHAR(10),"; ",AF370)))</f>
        <v/>
      </c>
      <c r="AD370" s="124" t="str">
        <f t="shared" si="183"/>
        <v/>
      </c>
      <c r="AE370" s="19">
        <f t="shared" si="175"/>
        <v>0</v>
      </c>
      <c r="AF370" s="156"/>
    </row>
    <row r="371" spans="2:32" s="9" customFormat="1" ht="13">
      <c r="B371" s="6">
        <f t="shared" si="176"/>
        <v>44851</v>
      </c>
      <c r="C371" s="45">
        <f>SMALL(Daten!W:W,COUNTIF(Daten!W:W,"&lt;"&amp;Stundenaufzeichnung!B371+1))</f>
        <v>44578</v>
      </c>
      <c r="D371" s="45" t="str">
        <f t="shared" si="171"/>
        <v/>
      </c>
      <c r="E371" s="8">
        <f t="shared" si="172"/>
        <v>3</v>
      </c>
      <c r="F371" s="8">
        <f t="shared" si="177"/>
        <v>1</v>
      </c>
      <c r="G371" s="8">
        <f>IF(B371="","",VLOOKUP(E371,Datenblatt!$L$2:$N$8,3,FALSE))</f>
        <v>0</v>
      </c>
      <c r="H371" s="8" t="str">
        <f t="shared" si="178"/>
        <v/>
      </c>
      <c r="I371" s="11" t="str">
        <f>IFERROR(VLOOKUP(B371,Datenblatt!$E:$F,2,FALSE),"")</f>
        <v/>
      </c>
      <c r="J371" s="113"/>
      <c r="K371" s="19">
        <f>IF(B371&lt;Datenblatt!$B$9,"",IF(B371="","",IF(G371=0,Datenblatt!$B$7,"")))</f>
        <v>6.67</v>
      </c>
      <c r="L371" s="19" t="str">
        <f t="shared" si="179"/>
        <v/>
      </c>
      <c r="M371" s="124" t="str">
        <f t="shared" si="180"/>
        <v/>
      </c>
      <c r="N371" s="124" t="str">
        <f>IF(AND(L371=Datenblatt!$B$7,NOT(L370=Datenblatt!$B$7),NOT(L372=Datenblatt!$B$7)),"y",IF(AND(L371=Datenblatt!$B$7,L372=Datenblatt!$B$7,NOT(L370=Datenblatt!$B$7)),"a",IF(AND(L371=Datenblatt!$B$7,L370=Datenblatt!$B$7,NOT(L372=Datenblatt!$B$7)),"b","")))</f>
        <v/>
      </c>
      <c r="O371" s="19" t="str">
        <f t="shared" si="181"/>
        <v/>
      </c>
      <c r="P371" s="124" t="str">
        <f>IF(AND(M371=Datenblatt!$B$7,NOT(M370=Datenblatt!$B$7),NOT(M372=Datenblatt!$B$7)),"y",IF(AND(M371=Datenblatt!$B$7,M372=Datenblatt!$B$7,NOT(M370=Datenblatt!$B$7)),"a",IF(AND(M371=Datenblatt!$B$7,M370=Datenblatt!$B$7,NOT(M372=Datenblatt!$B$7)),"b","")))</f>
        <v/>
      </c>
      <c r="Q371" s="19" t="str">
        <f t="shared" si="182"/>
        <v/>
      </c>
      <c r="R371" s="124" t="str">
        <f>IF(I371="","",IF(AND(OR(J371="Krankenstand",J371="Urlaub",J371=""), AND(G371=0,NOT(I371=""))),Datenblatt!$B$7,""))</f>
        <v/>
      </c>
      <c r="S371" s="19" t="str">
        <f>IF(OR(J371="Krankenstand",J371="Urlaub"),"",IF(J371="","",VLOOKUP(D371,Dienste!C:W,21,)))</f>
        <v/>
      </c>
      <c r="T371" s="18" t="str">
        <f>IF(OR(J371="Krankenstand",J371="Urlaub"),"",IF(J371="","",VLOOKUP(D371,Dienste!C:W,5,)))</f>
        <v/>
      </c>
      <c r="U371" s="18" t="str">
        <f>IF(OR(J371="Krankenstand",J371="Urlaub"),"",IF(J371="","",VLOOKUP(D371,Dienste!C:W,6,)))</f>
        <v/>
      </c>
      <c r="V371" s="18" t="str">
        <f>IF(OR(J371="Krankenstand",J371="Urlaub"),"",IF(J371="","",VLOOKUP(D371,Dienste!C:W,7,)))</f>
        <v/>
      </c>
      <c r="W371" s="18" t="str">
        <f>IF(OR(J371="Krankenstand",J371="Urlaub"),"",IF(J371="","",VLOOKUP(D371,Dienste!C:W,11,)))</f>
        <v/>
      </c>
      <c r="X371" s="18" t="str">
        <f>IF(OR(J371="Krankenstand",J371="Urlaub"),"",IF(J371="","",VLOOKUP(D371,Dienste!C:W,12,)))</f>
        <v/>
      </c>
      <c r="Y371" s="19" t="str">
        <f>IF(OR(J371="Krankenstand",J371="Urlaub"),"",IF(J371="","",VLOOKUP(D371,Dienste!C:W,14,)))</f>
        <v/>
      </c>
      <c r="Z371" s="20" t="str">
        <f>IF(OR(J371="Krankenstand",J371="Urlaub"),"",IF(J371="","",VLOOKUP(D371,Dienste!C:W,15,)))</f>
        <v/>
      </c>
      <c r="AA371" s="124" t="str">
        <f t="shared" si="173"/>
        <v/>
      </c>
      <c r="AB371" s="19" t="str">
        <f t="shared" si="174"/>
        <v/>
      </c>
      <c r="AC371" s="126" t="str">
        <f>_xlfn.CONCAT(_xlfn.CONCAT(IF(I371="","",_xlfn.CONCAT("FT: ",I371,IF(J371="","","; "))),IF(B371&lt;Datenblatt!$B$9,"",IF(B371="","",IF(NOT(J371=""),SUBSTITUTE(SUBSTITUTE(SUBSTITUTE(J371," mR","")," oR","")," O",""),"")))),IF(AF371="","",_xlfn.CONCAT(CHAR(10),"; ",AF371)))</f>
        <v/>
      </c>
      <c r="AD371" s="124" t="str">
        <f t="shared" si="183"/>
        <v/>
      </c>
      <c r="AE371" s="19">
        <f t="shared" si="175"/>
        <v>0</v>
      </c>
      <c r="AF371" s="156"/>
    </row>
    <row r="372" spans="2:32" s="9" customFormat="1" ht="13">
      <c r="B372" s="6">
        <f t="shared" si="176"/>
        <v>44852</v>
      </c>
      <c r="C372" s="45">
        <f>SMALL(Daten!W:W,COUNTIF(Daten!W:W,"&lt;"&amp;Stundenaufzeichnung!B372+1))</f>
        <v>44578</v>
      </c>
      <c r="D372" s="45" t="str">
        <f t="shared" si="171"/>
        <v/>
      </c>
      <c r="E372" s="8">
        <f t="shared" si="172"/>
        <v>4</v>
      </c>
      <c r="F372" s="8">
        <f t="shared" si="177"/>
        <v>2</v>
      </c>
      <c r="G372" s="8">
        <f>IF(B372="","",VLOOKUP(E372,Datenblatt!$L$2:$N$8,3,FALSE))</f>
        <v>0</v>
      </c>
      <c r="H372" s="8" t="str">
        <f t="shared" si="178"/>
        <v/>
      </c>
      <c r="I372" s="11" t="str">
        <f>IFERROR(VLOOKUP(B372,Datenblatt!$E:$F,2,FALSE),"")</f>
        <v/>
      </c>
      <c r="J372" s="113"/>
      <c r="K372" s="19">
        <f>IF(B372&lt;Datenblatt!$B$9,"",IF(B372="","",IF(G372=0,Datenblatt!$B$7,"")))</f>
        <v>6.67</v>
      </c>
      <c r="L372" s="19" t="str">
        <f t="shared" si="179"/>
        <v/>
      </c>
      <c r="M372" s="124" t="str">
        <f t="shared" si="180"/>
        <v/>
      </c>
      <c r="N372" s="124" t="str">
        <f>IF(AND(L372=Datenblatt!$B$7,NOT(L371=Datenblatt!$B$7),NOT(L373=Datenblatt!$B$7)),"y",IF(AND(L372=Datenblatt!$B$7,L373=Datenblatt!$B$7,NOT(L371=Datenblatt!$B$7)),"a",IF(AND(L372=Datenblatt!$B$7,L371=Datenblatt!$B$7,NOT(L373=Datenblatt!$B$7)),"b","")))</f>
        <v/>
      </c>
      <c r="O372" s="19" t="str">
        <f t="shared" si="181"/>
        <v/>
      </c>
      <c r="P372" s="124" t="str">
        <f>IF(AND(M372=Datenblatt!$B$7,NOT(M371=Datenblatt!$B$7),NOT(M373=Datenblatt!$B$7)),"y",IF(AND(M372=Datenblatt!$B$7,M373=Datenblatt!$B$7,NOT(M371=Datenblatt!$B$7)),"a",IF(AND(M372=Datenblatt!$B$7,M371=Datenblatt!$B$7,NOT(M373=Datenblatt!$B$7)),"b","")))</f>
        <v/>
      </c>
      <c r="Q372" s="19" t="str">
        <f t="shared" si="182"/>
        <v/>
      </c>
      <c r="R372" s="124" t="str">
        <f>IF(I372="","",IF(AND(OR(J372="Krankenstand",J372="Urlaub",J372=""), AND(G372=0,NOT(I372=""))),Datenblatt!$B$7,""))</f>
        <v/>
      </c>
      <c r="S372" s="19" t="str">
        <f>IF(OR(J372="Krankenstand",J372="Urlaub"),"",IF(J372="","",VLOOKUP(D372,Dienste!C:W,21,)))</f>
        <v/>
      </c>
      <c r="T372" s="18" t="str">
        <f>IF(OR(J372="Krankenstand",J372="Urlaub"),"",IF(J372="","",VLOOKUP(D372,Dienste!C:W,5,)))</f>
        <v/>
      </c>
      <c r="U372" s="18" t="str">
        <f>IF(OR(J372="Krankenstand",J372="Urlaub"),"",IF(J372="","",VLOOKUP(D372,Dienste!C:W,6,)))</f>
        <v/>
      </c>
      <c r="V372" s="18" t="str">
        <f>IF(OR(J372="Krankenstand",J372="Urlaub"),"",IF(J372="","",VLOOKUP(D372,Dienste!C:W,7,)))</f>
        <v/>
      </c>
      <c r="W372" s="18" t="str">
        <f>IF(OR(J372="Krankenstand",J372="Urlaub"),"",IF(J372="","",VLOOKUP(D372,Dienste!C:W,11,)))</f>
        <v/>
      </c>
      <c r="X372" s="18" t="str">
        <f>IF(OR(J372="Krankenstand",J372="Urlaub"),"",IF(J372="","",VLOOKUP(D372,Dienste!C:W,12,)))</f>
        <v/>
      </c>
      <c r="Y372" s="19" t="str">
        <f>IF(OR(J372="Krankenstand",J372="Urlaub"),"",IF(J372="","",VLOOKUP(D372,Dienste!C:W,14,)))</f>
        <v/>
      </c>
      <c r="Z372" s="20" t="str">
        <f>IF(OR(J372="Krankenstand",J372="Urlaub"),"",IF(J372="","",VLOOKUP(D372,Dienste!C:W,15,)))</f>
        <v/>
      </c>
      <c r="AA372" s="124" t="str">
        <f t="shared" si="173"/>
        <v/>
      </c>
      <c r="AB372" s="19" t="str">
        <f t="shared" si="174"/>
        <v/>
      </c>
      <c r="AC372" s="126" t="str">
        <f>_xlfn.CONCAT(_xlfn.CONCAT(IF(I372="","",_xlfn.CONCAT("FT: ",I372,IF(J372="","","; "))),IF(B372&lt;Datenblatt!$B$9,"",IF(B372="","",IF(NOT(J372=""),SUBSTITUTE(SUBSTITUTE(SUBSTITUTE(J372," mR","")," oR","")," O",""),"")))),IF(AF372="","",_xlfn.CONCAT(CHAR(10),"; ",AF372)))</f>
        <v/>
      </c>
      <c r="AD372" s="124" t="str">
        <f t="shared" si="183"/>
        <v/>
      </c>
      <c r="AE372" s="19">
        <f t="shared" si="175"/>
        <v>0</v>
      </c>
      <c r="AF372" s="156"/>
    </row>
    <row r="373" spans="2:32" s="9" customFormat="1" ht="13">
      <c r="B373" s="6">
        <f t="shared" si="176"/>
        <v>44853</v>
      </c>
      <c r="C373" s="45">
        <f>SMALL(Daten!W:W,COUNTIF(Daten!W:W,"&lt;"&amp;Stundenaufzeichnung!B373+1))</f>
        <v>44578</v>
      </c>
      <c r="D373" s="45" t="str">
        <f t="shared" si="171"/>
        <v/>
      </c>
      <c r="E373" s="8">
        <f t="shared" si="172"/>
        <v>5</v>
      </c>
      <c r="F373" s="8">
        <f t="shared" si="177"/>
        <v>3</v>
      </c>
      <c r="G373" s="8">
        <f>IF(B373="","",VLOOKUP(E373,Datenblatt!$L$2:$N$8,3,FALSE))</f>
        <v>0</v>
      </c>
      <c r="H373" s="8" t="str">
        <f t="shared" si="178"/>
        <v/>
      </c>
      <c r="I373" s="11" t="str">
        <f>IFERROR(VLOOKUP(B373,Datenblatt!$E:$F,2,FALSE),"")</f>
        <v/>
      </c>
      <c r="J373" s="113"/>
      <c r="K373" s="19">
        <f>IF(B373&lt;Datenblatt!$B$9,"",IF(B373="","",IF(G373=0,Datenblatt!$B$7,"")))</f>
        <v>6.67</v>
      </c>
      <c r="L373" s="19" t="str">
        <f t="shared" si="179"/>
        <v/>
      </c>
      <c r="M373" s="124" t="str">
        <f t="shared" si="180"/>
        <v/>
      </c>
      <c r="N373" s="124" t="str">
        <f>IF(AND(L373=Datenblatt!$B$7,NOT(L372=Datenblatt!$B$7),NOT(L374=Datenblatt!$B$7)),"y",IF(AND(L373=Datenblatt!$B$7,L374=Datenblatt!$B$7,NOT(L372=Datenblatt!$B$7)),"a",IF(AND(L373=Datenblatt!$B$7,L372=Datenblatt!$B$7,NOT(L374=Datenblatt!$B$7)),"b","")))</f>
        <v/>
      </c>
      <c r="O373" s="19" t="str">
        <f t="shared" si="181"/>
        <v/>
      </c>
      <c r="P373" s="124" t="str">
        <f>IF(AND(M373=Datenblatt!$B$7,NOT(M372=Datenblatt!$B$7),NOT(M374=Datenblatt!$B$7)),"y",IF(AND(M373=Datenblatt!$B$7,M374=Datenblatt!$B$7,NOT(M372=Datenblatt!$B$7)),"a",IF(AND(M373=Datenblatt!$B$7,M372=Datenblatt!$B$7,NOT(M374=Datenblatt!$B$7)),"b","")))</f>
        <v/>
      </c>
      <c r="Q373" s="19" t="str">
        <f t="shared" si="182"/>
        <v/>
      </c>
      <c r="R373" s="124" t="str">
        <f>IF(I373="","",IF(AND(OR(J373="Krankenstand",J373="Urlaub",J373=""), AND(G373=0,NOT(I373=""))),Datenblatt!$B$7,""))</f>
        <v/>
      </c>
      <c r="S373" s="19" t="str">
        <f>IF(OR(J373="Krankenstand",J373="Urlaub"),"",IF(J373="","",VLOOKUP(D373,Dienste!C:W,21,)))</f>
        <v/>
      </c>
      <c r="T373" s="18" t="str">
        <f>IF(OR(J373="Krankenstand",J373="Urlaub"),"",IF(J373="","",VLOOKUP(D373,Dienste!C:W,5,)))</f>
        <v/>
      </c>
      <c r="U373" s="18" t="str">
        <f>IF(OR(J373="Krankenstand",J373="Urlaub"),"",IF(J373="","",VLOOKUP(D373,Dienste!C:W,6,)))</f>
        <v/>
      </c>
      <c r="V373" s="18" t="str">
        <f>IF(OR(J373="Krankenstand",J373="Urlaub"),"",IF(J373="","",VLOOKUP(D373,Dienste!C:W,7,)))</f>
        <v/>
      </c>
      <c r="W373" s="18" t="str">
        <f>IF(OR(J373="Krankenstand",J373="Urlaub"),"",IF(J373="","",VLOOKUP(D373,Dienste!C:W,11,)))</f>
        <v/>
      </c>
      <c r="X373" s="18" t="str">
        <f>IF(OR(J373="Krankenstand",J373="Urlaub"),"",IF(J373="","",VLOOKUP(D373,Dienste!C:W,12,)))</f>
        <v/>
      </c>
      <c r="Y373" s="19" t="str">
        <f>IF(OR(J373="Krankenstand",J373="Urlaub"),"",IF(J373="","",VLOOKUP(D373,Dienste!C:W,14,)))</f>
        <v/>
      </c>
      <c r="Z373" s="20" t="str">
        <f>IF(OR(J373="Krankenstand",J373="Urlaub"),"",IF(J373="","",VLOOKUP(D373,Dienste!C:W,15,)))</f>
        <v/>
      </c>
      <c r="AA373" s="124" t="str">
        <f t="shared" si="173"/>
        <v/>
      </c>
      <c r="AB373" s="19" t="str">
        <f t="shared" si="174"/>
        <v/>
      </c>
      <c r="AC373" s="126" t="str">
        <f>_xlfn.CONCAT(_xlfn.CONCAT(IF(I373="","",_xlfn.CONCAT("FT: ",I373,IF(J373="","","; "))),IF(B373&lt;Datenblatt!$B$9,"",IF(B373="","",IF(NOT(J373=""),SUBSTITUTE(SUBSTITUTE(SUBSTITUTE(J373," mR","")," oR","")," O",""),"")))),IF(AF373="","",_xlfn.CONCAT(CHAR(10),"; ",AF373)))</f>
        <v/>
      </c>
      <c r="AD373" s="124" t="str">
        <f t="shared" si="183"/>
        <v/>
      </c>
      <c r="AE373" s="19">
        <f t="shared" si="175"/>
        <v>0</v>
      </c>
      <c r="AF373" s="156"/>
    </row>
    <row r="374" spans="2:32" s="9" customFormat="1" ht="13">
      <c r="B374" s="6">
        <f t="shared" si="176"/>
        <v>44854</v>
      </c>
      <c r="C374" s="45">
        <f>SMALL(Daten!W:W,COUNTIF(Daten!W:W,"&lt;"&amp;Stundenaufzeichnung!B374+1))</f>
        <v>44578</v>
      </c>
      <c r="D374" s="45" t="str">
        <f t="shared" si="171"/>
        <v/>
      </c>
      <c r="E374" s="8">
        <f t="shared" si="172"/>
        <v>6</v>
      </c>
      <c r="F374" s="8">
        <f t="shared" si="177"/>
        <v>4</v>
      </c>
      <c r="G374" s="8">
        <f>IF(B374="","",VLOOKUP(E374,Datenblatt!$L$2:$N$8,3,FALSE))</f>
        <v>0</v>
      </c>
      <c r="H374" s="8" t="str">
        <f t="shared" si="178"/>
        <v/>
      </c>
      <c r="I374" s="11" t="str">
        <f>IFERROR(VLOOKUP(B374,Datenblatt!$E:$F,2,FALSE),"")</f>
        <v/>
      </c>
      <c r="J374" s="113"/>
      <c r="K374" s="19">
        <f>IF(B374&lt;Datenblatt!$B$9,"",IF(B374="","",IF(G374=0,Datenblatt!$B$7,"")))</f>
        <v>6.67</v>
      </c>
      <c r="L374" s="19" t="str">
        <f t="shared" si="179"/>
        <v/>
      </c>
      <c r="M374" s="124" t="str">
        <f t="shared" si="180"/>
        <v/>
      </c>
      <c r="N374" s="124" t="str">
        <f>IF(AND(L374=Datenblatt!$B$7,NOT(L373=Datenblatt!$B$7),NOT(L375=Datenblatt!$B$7)),"y",IF(AND(L374=Datenblatt!$B$7,L375=Datenblatt!$B$7,NOT(L373=Datenblatt!$B$7)),"a",IF(AND(L374=Datenblatt!$B$7,L373=Datenblatt!$B$7,NOT(L375=Datenblatt!$B$7)),"b","")))</f>
        <v/>
      </c>
      <c r="O374" s="19" t="str">
        <f t="shared" si="181"/>
        <v/>
      </c>
      <c r="P374" s="124" t="str">
        <f>IF(AND(M374=Datenblatt!$B$7,NOT(M373=Datenblatt!$B$7),NOT(M375=Datenblatt!$B$7)),"y",IF(AND(M374=Datenblatt!$B$7,M375=Datenblatt!$B$7,NOT(M373=Datenblatt!$B$7)),"a",IF(AND(M374=Datenblatt!$B$7,M373=Datenblatt!$B$7,NOT(M375=Datenblatt!$B$7)),"b","")))</f>
        <v/>
      </c>
      <c r="Q374" s="19" t="str">
        <f t="shared" si="182"/>
        <v/>
      </c>
      <c r="R374" s="124" t="str">
        <f>IF(I374="","",IF(AND(OR(J374="Krankenstand",J374="Urlaub",J374=""), AND(G374=0,NOT(I374=""))),Datenblatt!$B$7,""))</f>
        <v/>
      </c>
      <c r="S374" s="19" t="str">
        <f>IF(OR(J374="Krankenstand",J374="Urlaub"),"",IF(J374="","",VLOOKUP(D374,Dienste!C:W,21,)))</f>
        <v/>
      </c>
      <c r="T374" s="18" t="str">
        <f>IF(OR(J374="Krankenstand",J374="Urlaub"),"",IF(J374="","",VLOOKUP(D374,Dienste!C:W,5,)))</f>
        <v/>
      </c>
      <c r="U374" s="18" t="str">
        <f>IF(OR(J374="Krankenstand",J374="Urlaub"),"",IF(J374="","",VLOOKUP(D374,Dienste!C:W,6,)))</f>
        <v/>
      </c>
      <c r="V374" s="18" t="str">
        <f>IF(OR(J374="Krankenstand",J374="Urlaub"),"",IF(J374="","",VLOOKUP(D374,Dienste!C:W,7,)))</f>
        <v/>
      </c>
      <c r="W374" s="18" t="str">
        <f>IF(OR(J374="Krankenstand",J374="Urlaub"),"",IF(J374="","",VLOOKUP(D374,Dienste!C:W,11,)))</f>
        <v/>
      </c>
      <c r="X374" s="18" t="str">
        <f>IF(OR(J374="Krankenstand",J374="Urlaub"),"",IF(J374="","",VLOOKUP(D374,Dienste!C:W,12,)))</f>
        <v/>
      </c>
      <c r="Y374" s="19" t="str">
        <f>IF(OR(J374="Krankenstand",J374="Urlaub"),"",IF(J374="","",VLOOKUP(D374,Dienste!C:W,14,)))</f>
        <v/>
      </c>
      <c r="Z374" s="20" t="str">
        <f>IF(OR(J374="Krankenstand",J374="Urlaub"),"",IF(J374="","",VLOOKUP(D374,Dienste!C:W,15,)))</f>
        <v/>
      </c>
      <c r="AA374" s="124" t="str">
        <f t="shared" si="173"/>
        <v/>
      </c>
      <c r="AB374" s="19" t="str">
        <f t="shared" si="174"/>
        <v/>
      </c>
      <c r="AC374" s="126" t="str">
        <f>_xlfn.CONCAT(_xlfn.CONCAT(IF(I374="","",_xlfn.CONCAT("FT: ",I374,IF(J374="","","; "))),IF(B374&lt;Datenblatt!$B$9,"",IF(B374="","",IF(NOT(J374=""),SUBSTITUTE(SUBSTITUTE(SUBSTITUTE(J374," mR","")," oR","")," O",""),"")))),IF(AF374="","",_xlfn.CONCAT(CHAR(10),"; ",AF374)))</f>
        <v/>
      </c>
      <c r="AD374" s="124" t="str">
        <f t="shared" si="183"/>
        <v/>
      </c>
      <c r="AE374" s="19">
        <f t="shared" si="175"/>
        <v>0</v>
      </c>
      <c r="AF374" s="156"/>
    </row>
    <row r="375" spans="2:32" s="9" customFormat="1" ht="13">
      <c r="B375" s="6">
        <f t="shared" si="176"/>
        <v>44855</v>
      </c>
      <c r="C375" s="45">
        <f>SMALL(Daten!W:W,COUNTIF(Daten!W:W,"&lt;"&amp;Stundenaufzeichnung!B375+1))</f>
        <v>44578</v>
      </c>
      <c r="D375" s="45" t="str">
        <f t="shared" si="171"/>
        <v/>
      </c>
      <c r="E375" s="8">
        <f t="shared" si="172"/>
        <v>7</v>
      </c>
      <c r="F375" s="8">
        <f t="shared" si="177"/>
        <v>5</v>
      </c>
      <c r="G375" s="8">
        <f>IF(B375="","",VLOOKUP(E375,Datenblatt!$L$2:$N$8,3,FALSE))</f>
        <v>0</v>
      </c>
      <c r="H375" s="8" t="str">
        <f t="shared" si="178"/>
        <v/>
      </c>
      <c r="I375" s="11" t="str">
        <f>IFERROR(VLOOKUP(B375,Datenblatt!$E:$F,2,FALSE),"")</f>
        <v/>
      </c>
      <c r="J375" s="113"/>
      <c r="K375" s="19">
        <f>IF(B375&lt;Datenblatt!$B$9,"",IF(B375="","",IF(G375=0,Datenblatt!$B$7,"")))</f>
        <v>6.67</v>
      </c>
      <c r="L375" s="19" t="str">
        <f t="shared" si="179"/>
        <v/>
      </c>
      <c r="M375" s="124" t="str">
        <f t="shared" si="180"/>
        <v/>
      </c>
      <c r="N375" s="124" t="str">
        <f>IF(AND(L375=Datenblatt!$B$7,NOT(L374=Datenblatt!$B$7),NOT(L376=Datenblatt!$B$7)),"y",IF(AND(L375=Datenblatt!$B$7,L376=Datenblatt!$B$7,NOT(L374=Datenblatt!$B$7)),"a",IF(AND(L375=Datenblatt!$B$7,L374=Datenblatt!$B$7,NOT(L376=Datenblatt!$B$7)),"b","")))</f>
        <v/>
      </c>
      <c r="O375" s="19" t="str">
        <f t="shared" si="181"/>
        <v/>
      </c>
      <c r="P375" s="124" t="str">
        <f>IF(AND(M375=Datenblatt!$B$7,NOT(M374=Datenblatt!$B$7),NOT(M376=Datenblatt!$B$7)),"y",IF(AND(M375=Datenblatt!$B$7,M376=Datenblatt!$B$7,NOT(M374=Datenblatt!$B$7)),"a",IF(AND(M375=Datenblatt!$B$7,M374=Datenblatt!$B$7,NOT(M376=Datenblatt!$B$7)),"b","")))</f>
        <v/>
      </c>
      <c r="Q375" s="19" t="str">
        <f t="shared" si="182"/>
        <v/>
      </c>
      <c r="R375" s="124" t="str">
        <f>IF(I375="","",IF(AND(OR(J375="Krankenstand",J375="Urlaub",J375=""), AND(G375=0,NOT(I375=""))),Datenblatt!$B$7,""))</f>
        <v/>
      </c>
      <c r="S375" s="19" t="str">
        <f>IF(OR(J375="Krankenstand",J375="Urlaub"),"",IF(J375="","",VLOOKUP(D375,Dienste!C:W,21,)))</f>
        <v/>
      </c>
      <c r="T375" s="18" t="str">
        <f>IF(OR(J375="Krankenstand",J375="Urlaub"),"",IF(J375="","",VLOOKUP(D375,Dienste!C:W,5,)))</f>
        <v/>
      </c>
      <c r="U375" s="18" t="str">
        <f>IF(OR(J375="Krankenstand",J375="Urlaub"),"",IF(J375="","",VLOOKUP(D375,Dienste!C:W,6,)))</f>
        <v/>
      </c>
      <c r="V375" s="18" t="str">
        <f>IF(OR(J375="Krankenstand",J375="Urlaub"),"",IF(J375="","",VLOOKUP(D375,Dienste!C:W,7,)))</f>
        <v/>
      </c>
      <c r="W375" s="18" t="str">
        <f>IF(OR(J375="Krankenstand",J375="Urlaub"),"",IF(J375="","",VLOOKUP(D375,Dienste!C:W,11,)))</f>
        <v/>
      </c>
      <c r="X375" s="18" t="str">
        <f>IF(OR(J375="Krankenstand",J375="Urlaub"),"",IF(J375="","",VLOOKUP(D375,Dienste!C:W,12,)))</f>
        <v/>
      </c>
      <c r="Y375" s="19" t="str">
        <f>IF(OR(J375="Krankenstand",J375="Urlaub"),"",IF(J375="","",VLOOKUP(D375,Dienste!C:W,14,)))</f>
        <v/>
      </c>
      <c r="Z375" s="20" t="str">
        <f>IF(OR(J375="Krankenstand",J375="Urlaub"),"",IF(J375="","",VLOOKUP(D375,Dienste!C:W,15,)))</f>
        <v/>
      </c>
      <c r="AA375" s="124" t="str">
        <f t="shared" si="173"/>
        <v/>
      </c>
      <c r="AB375" s="19" t="str">
        <f t="shared" si="174"/>
        <v/>
      </c>
      <c r="AC375" s="126" t="str">
        <f>_xlfn.CONCAT(_xlfn.CONCAT(IF(I375="","",_xlfn.CONCAT("FT: ",I375,IF(J375="","","; "))),IF(B375&lt;Datenblatt!$B$9,"",IF(B375="","",IF(NOT(J375=""),SUBSTITUTE(SUBSTITUTE(SUBSTITUTE(J375," mR","")," oR","")," O",""),"")))),IF(AF375="","",_xlfn.CONCAT(CHAR(10),"; ",AF375)))</f>
        <v/>
      </c>
      <c r="AD375" s="124" t="str">
        <f t="shared" si="183"/>
        <v/>
      </c>
      <c r="AE375" s="19">
        <f t="shared" si="175"/>
        <v>0</v>
      </c>
      <c r="AF375" s="156"/>
    </row>
    <row r="376" spans="2:32" s="9" customFormat="1" ht="13">
      <c r="B376" s="6">
        <f t="shared" si="176"/>
        <v>44856</v>
      </c>
      <c r="C376" s="45">
        <f>SMALL(Daten!W:W,COUNTIF(Daten!W:W,"&lt;"&amp;Stundenaufzeichnung!B376+1))</f>
        <v>44578</v>
      </c>
      <c r="D376" s="45" t="str">
        <f t="shared" si="171"/>
        <v/>
      </c>
      <c r="E376" s="8">
        <f t="shared" si="172"/>
        <v>1</v>
      </c>
      <c r="F376" s="8">
        <f t="shared" si="177"/>
        <v>6</v>
      </c>
      <c r="G376" s="8">
        <f>IF(B376="","",VLOOKUP(E376,Datenblatt!$L$2:$N$8,3,FALSE))</f>
        <v>0</v>
      </c>
      <c r="H376" s="8" t="str">
        <f t="shared" si="178"/>
        <v/>
      </c>
      <c r="I376" s="11" t="str">
        <f>IFERROR(VLOOKUP(B376,Datenblatt!$E:$F,2,FALSE),"")</f>
        <v/>
      </c>
      <c r="J376" s="113"/>
      <c r="K376" s="19">
        <f>IF(B376&lt;Datenblatt!$B$9,"",IF(B376="","",IF(G376=0,Datenblatt!$B$7,"")))</f>
        <v>6.67</v>
      </c>
      <c r="L376" s="19" t="str">
        <f t="shared" si="179"/>
        <v/>
      </c>
      <c r="M376" s="124" t="str">
        <f t="shared" si="180"/>
        <v/>
      </c>
      <c r="N376" s="124" t="str">
        <f>IF(AND(L376=Datenblatt!$B$7,NOT(L375=Datenblatt!$B$7),NOT(L377=Datenblatt!$B$7)),"y",IF(AND(L376=Datenblatt!$B$7,L377=Datenblatt!$B$7,NOT(L375=Datenblatt!$B$7)),"a",IF(AND(L376=Datenblatt!$B$7,L375=Datenblatt!$B$7,NOT(L377=Datenblatt!$B$7)),"b","")))</f>
        <v/>
      </c>
      <c r="O376" s="19" t="str">
        <f t="shared" si="181"/>
        <v/>
      </c>
      <c r="P376" s="124" t="str">
        <f>IF(AND(M376=Datenblatt!$B$7,NOT(M375=Datenblatt!$B$7),NOT(M377=Datenblatt!$B$7)),"y",IF(AND(M376=Datenblatt!$B$7,M377=Datenblatt!$B$7,NOT(M375=Datenblatt!$B$7)),"a",IF(AND(M376=Datenblatt!$B$7,M375=Datenblatt!$B$7,NOT(M377=Datenblatt!$B$7)),"b","")))</f>
        <v/>
      </c>
      <c r="Q376" s="19" t="str">
        <f t="shared" si="182"/>
        <v/>
      </c>
      <c r="R376" s="124" t="str">
        <f>IF(I376="","",IF(AND(OR(J376="Krankenstand",J376="Urlaub",J376=""), AND(G376=0,NOT(I376=""))),Datenblatt!$B$7,""))</f>
        <v/>
      </c>
      <c r="S376" s="19" t="str">
        <f>IF(OR(J376="Krankenstand",J376="Urlaub"),"",IF(J376="","",VLOOKUP(D376,Dienste!C:W,21,)))</f>
        <v/>
      </c>
      <c r="T376" s="18" t="str">
        <f>IF(OR(J376="Krankenstand",J376="Urlaub"),"",IF(J376="","",VLOOKUP(D376,Dienste!C:W,5,)))</f>
        <v/>
      </c>
      <c r="U376" s="18" t="str">
        <f>IF(OR(J376="Krankenstand",J376="Urlaub"),"",IF(J376="","",VLOOKUP(D376,Dienste!C:W,6,)))</f>
        <v/>
      </c>
      <c r="V376" s="18" t="str">
        <f>IF(OR(J376="Krankenstand",J376="Urlaub"),"",IF(J376="","",VLOOKUP(D376,Dienste!C:W,7,)))</f>
        <v/>
      </c>
      <c r="W376" s="18" t="str">
        <f>IF(OR(J376="Krankenstand",J376="Urlaub"),"",IF(J376="","",VLOOKUP(D376,Dienste!C:W,11,)))</f>
        <v/>
      </c>
      <c r="X376" s="18" t="str">
        <f>IF(OR(J376="Krankenstand",J376="Urlaub"),"",IF(J376="","",VLOOKUP(D376,Dienste!C:W,12,)))</f>
        <v/>
      </c>
      <c r="Y376" s="19" t="str">
        <f>IF(OR(J376="Krankenstand",J376="Urlaub"),"",IF(J376="","",VLOOKUP(D376,Dienste!C:W,14,)))</f>
        <v/>
      </c>
      <c r="Z376" s="20" t="str">
        <f>IF(OR(J376="Krankenstand",J376="Urlaub"),"",IF(J376="","",VLOOKUP(D376,Dienste!C:W,15,)))</f>
        <v/>
      </c>
      <c r="AA376" s="124" t="str">
        <f t="shared" si="173"/>
        <v/>
      </c>
      <c r="AB376" s="19" t="str">
        <f t="shared" si="174"/>
        <v/>
      </c>
      <c r="AC376" s="126" t="str">
        <f>_xlfn.CONCAT(_xlfn.CONCAT(IF(I376="","",_xlfn.CONCAT("FT: ",I376,IF(J376="","","; "))),IF(B376&lt;Datenblatt!$B$9,"",IF(B376="","",IF(NOT(J376=""),SUBSTITUTE(SUBSTITUTE(SUBSTITUTE(J376," mR","")," oR","")," O",""),"")))),IF(AF376="","",_xlfn.CONCAT(CHAR(10),"; ",AF376)))</f>
        <v/>
      </c>
      <c r="AD376" s="124" t="str">
        <f t="shared" si="183"/>
        <v/>
      </c>
      <c r="AE376" s="19">
        <f t="shared" si="175"/>
        <v>0</v>
      </c>
      <c r="AF376" s="156"/>
    </row>
    <row r="377" spans="2:32" s="9" customFormat="1" ht="13">
      <c r="B377" s="6">
        <f t="shared" si="176"/>
        <v>44857</v>
      </c>
      <c r="C377" s="45">
        <f>SMALL(Daten!W:W,COUNTIF(Daten!W:W,"&lt;"&amp;Stundenaufzeichnung!B377+1))</f>
        <v>44578</v>
      </c>
      <c r="D377" s="45" t="str">
        <f t="shared" si="171"/>
        <v/>
      </c>
      <c r="E377" s="8">
        <f t="shared" si="172"/>
        <v>2</v>
      </c>
      <c r="F377" s="8">
        <f t="shared" si="177"/>
        <v>7</v>
      </c>
      <c r="G377" s="8">
        <f>IF(B377="","",VLOOKUP(E377,Datenblatt!$L$2:$N$8,3,FALSE))</f>
        <v>1</v>
      </c>
      <c r="H377" s="8" t="str">
        <f t="shared" si="178"/>
        <v>x</v>
      </c>
      <c r="I377" s="11" t="str">
        <f>IFERROR(VLOOKUP(B377,Datenblatt!$E:$F,2,FALSE),"")</f>
        <v/>
      </c>
      <c r="J377" s="113"/>
      <c r="K377" s="19" t="str">
        <f>IF(B377&lt;Datenblatt!$B$9,"",IF(B377="","",IF(G377=0,Datenblatt!$B$7,"")))</f>
        <v/>
      </c>
      <c r="L377" s="19" t="str">
        <f t="shared" si="179"/>
        <v/>
      </c>
      <c r="M377" s="124" t="str">
        <f t="shared" si="180"/>
        <v/>
      </c>
      <c r="N377" s="124" t="str">
        <f>IF(AND(L377=Datenblatt!$B$7,NOT(L376=Datenblatt!$B$7),NOT(L378=Datenblatt!$B$7)),"y",IF(AND(L377=Datenblatt!$B$7,L378=Datenblatt!$B$7,NOT(L376=Datenblatt!$B$7)),"a",IF(AND(L377=Datenblatt!$B$7,L376=Datenblatt!$B$7,NOT(L378=Datenblatt!$B$7)),"b","")))</f>
        <v/>
      </c>
      <c r="O377" s="19" t="str">
        <f t="shared" si="181"/>
        <v/>
      </c>
      <c r="P377" s="124" t="str">
        <f>IF(AND(M377=Datenblatt!$B$7,NOT(M376=Datenblatt!$B$7),NOT(M378=Datenblatt!$B$7)),"y",IF(AND(M377=Datenblatt!$B$7,M378=Datenblatt!$B$7,NOT(M376=Datenblatt!$B$7)),"a",IF(AND(M377=Datenblatt!$B$7,M376=Datenblatt!$B$7,NOT(M378=Datenblatt!$B$7)),"b","")))</f>
        <v/>
      </c>
      <c r="Q377" s="19" t="str">
        <f t="shared" si="182"/>
        <v/>
      </c>
      <c r="R377" s="124" t="str">
        <f>IF(I377="","",IF(AND(OR(J377="Krankenstand",J377="Urlaub",J377=""), AND(G377=0,NOT(I377=""))),Datenblatt!$B$7,""))</f>
        <v/>
      </c>
      <c r="S377" s="19" t="str">
        <f>IF(OR(J377="Krankenstand",J377="Urlaub"),"",IF(J377="","",VLOOKUP(D377,Dienste!C:W,21,)))</f>
        <v/>
      </c>
      <c r="T377" s="18" t="str">
        <f>IF(OR(J377="Krankenstand",J377="Urlaub"),"",IF(J377="","",VLOOKUP(D377,Dienste!C:W,5,)))</f>
        <v/>
      </c>
      <c r="U377" s="18" t="str">
        <f>IF(OR(J377="Krankenstand",J377="Urlaub"),"",IF(J377="","",VLOOKUP(D377,Dienste!C:W,6,)))</f>
        <v/>
      </c>
      <c r="V377" s="18" t="str">
        <f>IF(OR(J377="Krankenstand",J377="Urlaub"),"",IF(J377="","",VLOOKUP(D377,Dienste!C:W,7,)))</f>
        <v/>
      </c>
      <c r="W377" s="18" t="str">
        <f>IF(OR(J377="Krankenstand",J377="Urlaub"),"",IF(J377="","",VLOOKUP(D377,Dienste!C:W,11,)))</f>
        <v/>
      </c>
      <c r="X377" s="18" t="str">
        <f>IF(OR(J377="Krankenstand",J377="Urlaub"),"",IF(J377="","",VLOOKUP(D377,Dienste!C:W,12,)))</f>
        <v/>
      </c>
      <c r="Y377" s="19" t="str">
        <f>IF(OR(J377="Krankenstand",J377="Urlaub"),"",IF(J377="","",VLOOKUP(D377,Dienste!C:W,14,)))</f>
        <v/>
      </c>
      <c r="Z377" s="20" t="str">
        <f>IF(OR(J377="Krankenstand",J377="Urlaub"),"",IF(J377="","",VLOOKUP(D377,Dienste!C:W,15,)))</f>
        <v/>
      </c>
      <c r="AA377" s="124" t="str">
        <f t="shared" si="173"/>
        <v/>
      </c>
      <c r="AB377" s="19" t="str">
        <f t="shared" si="174"/>
        <v/>
      </c>
      <c r="AC377" s="126" t="str">
        <f>_xlfn.CONCAT(_xlfn.CONCAT(IF(I377="","",_xlfn.CONCAT("FT: ",I377,IF(J377="","","; "))),IF(B377&lt;Datenblatt!$B$9,"",IF(B377="","",IF(NOT(J377=""),SUBSTITUTE(SUBSTITUTE(SUBSTITUTE(J377," mR","")," oR","")," O",""),"")))),IF(AF377="","",_xlfn.CONCAT(CHAR(10),"; ",AF377)))</f>
        <v/>
      </c>
      <c r="AD377" s="124" t="str">
        <f t="shared" si="183"/>
        <v/>
      </c>
      <c r="AE377" s="19">
        <f t="shared" si="175"/>
        <v>0</v>
      </c>
      <c r="AF377" s="156"/>
    </row>
    <row r="378" spans="2:32" s="9" customFormat="1" ht="13">
      <c r="B378" s="6">
        <f t="shared" si="176"/>
        <v>44858</v>
      </c>
      <c r="C378" s="45">
        <f>SMALL(Daten!W:W,COUNTIF(Daten!W:W,"&lt;"&amp;Stundenaufzeichnung!B378+1))</f>
        <v>44578</v>
      </c>
      <c r="D378" s="45" t="str">
        <f t="shared" si="171"/>
        <v/>
      </c>
      <c r="E378" s="8">
        <f t="shared" si="172"/>
        <v>3</v>
      </c>
      <c r="F378" s="8">
        <f t="shared" si="177"/>
        <v>1</v>
      </c>
      <c r="G378" s="8">
        <f>IF(B378="","",VLOOKUP(E378,Datenblatt!$L$2:$N$8,3,FALSE))</f>
        <v>0</v>
      </c>
      <c r="H378" s="8" t="str">
        <f t="shared" si="178"/>
        <v/>
      </c>
      <c r="I378" s="11" t="str">
        <f>IFERROR(VLOOKUP(B378,Datenblatt!$E:$F,2,FALSE),"")</f>
        <v/>
      </c>
      <c r="J378" s="113"/>
      <c r="K378" s="19">
        <f>IF(B378&lt;Datenblatt!$B$9,"",IF(B378="","",IF(G378=0,Datenblatt!$B$7,"")))</f>
        <v>6.67</v>
      </c>
      <c r="L378" s="19" t="str">
        <f t="shared" si="179"/>
        <v/>
      </c>
      <c r="M378" s="124" t="str">
        <f t="shared" si="180"/>
        <v/>
      </c>
      <c r="N378" s="124" t="str">
        <f>IF(AND(L378=Datenblatt!$B$7,NOT(L377=Datenblatt!$B$7),NOT(L379=Datenblatt!$B$7)),"y",IF(AND(L378=Datenblatt!$B$7,L379=Datenblatt!$B$7,NOT(L377=Datenblatt!$B$7)),"a",IF(AND(L378=Datenblatt!$B$7,L377=Datenblatt!$B$7,NOT(L379=Datenblatt!$B$7)),"b","")))</f>
        <v/>
      </c>
      <c r="O378" s="19" t="str">
        <f t="shared" si="181"/>
        <v/>
      </c>
      <c r="P378" s="124" t="str">
        <f>IF(AND(M378=Datenblatt!$B$7,NOT(M377=Datenblatt!$B$7),NOT(M379=Datenblatt!$B$7)),"y",IF(AND(M378=Datenblatt!$B$7,M379=Datenblatt!$B$7,NOT(M377=Datenblatt!$B$7)),"a",IF(AND(M378=Datenblatt!$B$7,M377=Datenblatt!$B$7,NOT(M379=Datenblatt!$B$7)),"b","")))</f>
        <v/>
      </c>
      <c r="Q378" s="19" t="str">
        <f t="shared" si="182"/>
        <v/>
      </c>
      <c r="R378" s="124" t="str">
        <f>IF(I378="","",IF(AND(OR(J378="Krankenstand",J378="Urlaub",J378=""), AND(G378=0,NOT(I378=""))),Datenblatt!$B$7,""))</f>
        <v/>
      </c>
      <c r="S378" s="19" t="str">
        <f>IF(OR(J378="Krankenstand",J378="Urlaub"),"",IF(J378="","",VLOOKUP(D378,Dienste!C:W,21,)))</f>
        <v/>
      </c>
      <c r="T378" s="18" t="str">
        <f>IF(OR(J378="Krankenstand",J378="Urlaub"),"",IF(J378="","",VLOOKUP(D378,Dienste!C:W,5,)))</f>
        <v/>
      </c>
      <c r="U378" s="18" t="str">
        <f>IF(OR(J378="Krankenstand",J378="Urlaub"),"",IF(J378="","",VLOOKUP(D378,Dienste!C:W,6,)))</f>
        <v/>
      </c>
      <c r="V378" s="18" t="str">
        <f>IF(OR(J378="Krankenstand",J378="Urlaub"),"",IF(J378="","",VLOOKUP(D378,Dienste!C:W,7,)))</f>
        <v/>
      </c>
      <c r="W378" s="18" t="str">
        <f>IF(OR(J378="Krankenstand",J378="Urlaub"),"",IF(J378="","",VLOOKUP(D378,Dienste!C:W,11,)))</f>
        <v/>
      </c>
      <c r="X378" s="18" t="str">
        <f>IF(OR(J378="Krankenstand",J378="Urlaub"),"",IF(J378="","",VLOOKUP(D378,Dienste!C:W,12,)))</f>
        <v/>
      </c>
      <c r="Y378" s="19" t="str">
        <f>IF(OR(J378="Krankenstand",J378="Urlaub"),"",IF(J378="","",VLOOKUP(D378,Dienste!C:W,14,)))</f>
        <v/>
      </c>
      <c r="Z378" s="20" t="str">
        <f>IF(OR(J378="Krankenstand",J378="Urlaub"),"",IF(J378="","",VLOOKUP(D378,Dienste!C:W,15,)))</f>
        <v/>
      </c>
      <c r="AA378" s="124" t="str">
        <f t="shared" si="173"/>
        <v/>
      </c>
      <c r="AB378" s="19" t="str">
        <f t="shared" si="174"/>
        <v/>
      </c>
      <c r="AC378" s="126" t="str">
        <f>_xlfn.CONCAT(_xlfn.CONCAT(IF(I378="","",_xlfn.CONCAT("FT: ",I378,IF(J378="","","; "))),IF(B378&lt;Datenblatt!$B$9,"",IF(B378="","",IF(NOT(J378=""),SUBSTITUTE(SUBSTITUTE(SUBSTITUTE(J378," mR","")," oR","")," O",""),"")))),IF(AF378="","",_xlfn.CONCAT(CHAR(10),"; ",AF378)))</f>
        <v/>
      </c>
      <c r="AD378" s="124" t="str">
        <f t="shared" si="183"/>
        <v/>
      </c>
      <c r="AE378" s="19">
        <f t="shared" si="175"/>
        <v>0</v>
      </c>
      <c r="AF378" s="156"/>
    </row>
    <row r="379" spans="2:32" s="9" customFormat="1" ht="13">
      <c r="B379" s="6">
        <f t="shared" si="176"/>
        <v>44859</v>
      </c>
      <c r="C379" s="45">
        <f>SMALL(Daten!W:W,COUNTIF(Daten!W:W,"&lt;"&amp;Stundenaufzeichnung!B379+1))</f>
        <v>44578</v>
      </c>
      <c r="D379" s="45" t="str">
        <f t="shared" si="171"/>
        <v/>
      </c>
      <c r="E379" s="8">
        <f t="shared" si="172"/>
        <v>4</v>
      </c>
      <c r="F379" s="8">
        <f t="shared" si="177"/>
        <v>2</v>
      </c>
      <c r="G379" s="8">
        <f>IF(B379="","",VLOOKUP(E379,Datenblatt!$L$2:$N$8,3,FALSE))</f>
        <v>0</v>
      </c>
      <c r="H379" s="8" t="str">
        <f t="shared" si="178"/>
        <v/>
      </c>
      <c r="I379" s="11" t="str">
        <f>IFERROR(VLOOKUP(B379,Datenblatt!$E:$F,2,FALSE),"")</f>
        <v/>
      </c>
      <c r="J379" s="113"/>
      <c r="K379" s="19">
        <f>IF(B379&lt;Datenblatt!$B$9,"",IF(B379="","",IF(G379=0,Datenblatt!$B$7,"")))</f>
        <v>6.67</v>
      </c>
      <c r="L379" s="19" t="str">
        <f t="shared" si="179"/>
        <v/>
      </c>
      <c r="M379" s="124" t="str">
        <f t="shared" si="180"/>
        <v/>
      </c>
      <c r="N379" s="124" t="str">
        <f>IF(AND(L379=Datenblatt!$B$7,NOT(L378=Datenblatt!$B$7),NOT(L380=Datenblatt!$B$7)),"y",IF(AND(L379=Datenblatt!$B$7,L380=Datenblatt!$B$7,NOT(L378=Datenblatt!$B$7)),"a",IF(AND(L379=Datenblatt!$B$7,L378=Datenblatt!$B$7,NOT(L380=Datenblatt!$B$7)),"b","")))</f>
        <v/>
      </c>
      <c r="O379" s="19" t="str">
        <f t="shared" si="181"/>
        <v/>
      </c>
      <c r="P379" s="124" t="str">
        <f>IF(AND(M379=Datenblatt!$B$7,NOT(M378=Datenblatt!$B$7),NOT(M380=Datenblatt!$B$7)),"y",IF(AND(M379=Datenblatt!$B$7,M380=Datenblatt!$B$7,NOT(M378=Datenblatt!$B$7)),"a",IF(AND(M379=Datenblatt!$B$7,M378=Datenblatt!$B$7,NOT(M380=Datenblatt!$B$7)),"b","")))</f>
        <v/>
      </c>
      <c r="Q379" s="19" t="str">
        <f t="shared" si="182"/>
        <v/>
      </c>
      <c r="R379" s="124" t="str">
        <f>IF(I379="","",IF(AND(OR(J379="Krankenstand",J379="Urlaub",J379=""), AND(G379=0,NOT(I379=""))),Datenblatt!$B$7,""))</f>
        <v/>
      </c>
      <c r="S379" s="19" t="str">
        <f>IF(OR(J379="Krankenstand",J379="Urlaub"),"",IF(J379="","",VLOOKUP(D379,Dienste!C:W,21,)))</f>
        <v/>
      </c>
      <c r="T379" s="18" t="str">
        <f>IF(OR(J379="Krankenstand",J379="Urlaub"),"",IF(J379="","",VLOOKUP(D379,Dienste!C:W,5,)))</f>
        <v/>
      </c>
      <c r="U379" s="18" t="str">
        <f>IF(OR(J379="Krankenstand",J379="Urlaub"),"",IF(J379="","",VLOOKUP(D379,Dienste!C:W,6,)))</f>
        <v/>
      </c>
      <c r="V379" s="18" t="str">
        <f>IF(OR(J379="Krankenstand",J379="Urlaub"),"",IF(J379="","",VLOOKUP(D379,Dienste!C:W,7,)))</f>
        <v/>
      </c>
      <c r="W379" s="18" t="str">
        <f>IF(OR(J379="Krankenstand",J379="Urlaub"),"",IF(J379="","",VLOOKUP(D379,Dienste!C:W,11,)))</f>
        <v/>
      </c>
      <c r="X379" s="18" t="str">
        <f>IF(OR(J379="Krankenstand",J379="Urlaub"),"",IF(J379="","",VLOOKUP(D379,Dienste!C:W,12,)))</f>
        <v/>
      </c>
      <c r="Y379" s="19" t="str">
        <f>IF(OR(J379="Krankenstand",J379="Urlaub"),"",IF(J379="","",VLOOKUP(D379,Dienste!C:W,14,)))</f>
        <v/>
      </c>
      <c r="Z379" s="20" t="str">
        <f>IF(OR(J379="Krankenstand",J379="Urlaub"),"",IF(J379="","",VLOOKUP(D379,Dienste!C:W,15,)))</f>
        <v/>
      </c>
      <c r="AA379" s="124" t="str">
        <f t="shared" si="173"/>
        <v/>
      </c>
      <c r="AB379" s="19" t="str">
        <f t="shared" si="174"/>
        <v/>
      </c>
      <c r="AC379" s="126" t="str">
        <f>_xlfn.CONCAT(_xlfn.CONCAT(IF(I379="","",_xlfn.CONCAT("FT: ",I379,IF(J379="","","; "))),IF(B379&lt;Datenblatt!$B$9,"",IF(B379="","",IF(NOT(J379=""),SUBSTITUTE(SUBSTITUTE(SUBSTITUTE(J379," mR","")," oR","")," O",""),"")))),IF(AF379="","",_xlfn.CONCAT(CHAR(10),"; ",AF379)))</f>
        <v/>
      </c>
      <c r="AD379" s="124" t="str">
        <f t="shared" si="183"/>
        <v/>
      </c>
      <c r="AE379" s="19">
        <f t="shared" si="175"/>
        <v>0</v>
      </c>
      <c r="AF379" s="156"/>
    </row>
    <row r="380" spans="2:32" s="9" customFormat="1" ht="13">
      <c r="B380" s="6">
        <f t="shared" si="176"/>
        <v>44860</v>
      </c>
      <c r="C380" s="45">
        <f>SMALL(Daten!W:W,COUNTIF(Daten!W:W,"&lt;"&amp;Stundenaufzeichnung!B380+1))</f>
        <v>44578</v>
      </c>
      <c r="D380" s="45" t="str">
        <f t="shared" si="171"/>
        <v/>
      </c>
      <c r="E380" s="8">
        <f t="shared" si="172"/>
        <v>5</v>
      </c>
      <c r="F380" s="8">
        <f t="shared" si="177"/>
        <v>3</v>
      </c>
      <c r="G380" s="8">
        <f>IF(B380="","",VLOOKUP(E380,Datenblatt!$L$2:$N$8,3,FALSE))</f>
        <v>0</v>
      </c>
      <c r="H380" s="8" t="str">
        <f t="shared" si="178"/>
        <v>x</v>
      </c>
      <c r="I380" s="11" t="str">
        <f>IFERROR(VLOOKUP(B380,Datenblatt!$E:$F,2,FALSE),"")</f>
        <v>Nationalfeiertag</v>
      </c>
      <c r="J380" s="113"/>
      <c r="K380" s="19">
        <f>IF(B380&lt;Datenblatt!$B$9,"",IF(B380="","",IF(G380=0,Datenblatt!$B$7,"")))</f>
        <v>6.67</v>
      </c>
      <c r="L380" s="19" t="str">
        <f t="shared" si="179"/>
        <v/>
      </c>
      <c r="M380" s="124" t="str">
        <f t="shared" si="180"/>
        <v/>
      </c>
      <c r="N380" s="124" t="str">
        <f>IF(AND(L380=Datenblatt!$B$7,NOT(L379=Datenblatt!$B$7),NOT(L381=Datenblatt!$B$7)),"y",IF(AND(L380=Datenblatt!$B$7,L381=Datenblatt!$B$7,NOT(L379=Datenblatt!$B$7)),"a",IF(AND(L380=Datenblatt!$B$7,L379=Datenblatt!$B$7,NOT(L381=Datenblatt!$B$7)),"b","")))</f>
        <v/>
      </c>
      <c r="O380" s="19" t="str">
        <f t="shared" si="181"/>
        <v/>
      </c>
      <c r="P380" s="124" t="str">
        <f>IF(AND(M380=Datenblatt!$B$7,NOT(M379=Datenblatt!$B$7),NOT(M381=Datenblatt!$B$7)),"y",IF(AND(M380=Datenblatt!$B$7,M381=Datenblatt!$B$7,NOT(M379=Datenblatt!$B$7)),"a",IF(AND(M380=Datenblatt!$B$7,M379=Datenblatt!$B$7,NOT(M381=Datenblatt!$B$7)),"b","")))</f>
        <v/>
      </c>
      <c r="Q380" s="19" t="str">
        <f t="shared" si="182"/>
        <v/>
      </c>
      <c r="R380" s="124">
        <f>IF(I380="","",IF(AND(OR(J380="Krankenstand",J380="Urlaub",J380=""), AND(G380=0,NOT(I380=""))),Datenblatt!$B$7,""))</f>
        <v>6.67</v>
      </c>
      <c r="S380" s="19" t="str">
        <f>IF(OR(J380="Krankenstand",J380="Urlaub"),"",IF(J380="","",VLOOKUP(D380,Dienste!C:W,21,)))</f>
        <v/>
      </c>
      <c r="T380" s="18" t="str">
        <f>IF(OR(J380="Krankenstand",J380="Urlaub"),"",IF(J380="","",VLOOKUP(D380,Dienste!C:W,5,)))</f>
        <v/>
      </c>
      <c r="U380" s="18" t="str">
        <f>IF(OR(J380="Krankenstand",J380="Urlaub"),"",IF(J380="","",VLOOKUP(D380,Dienste!C:W,6,)))</f>
        <v/>
      </c>
      <c r="V380" s="18" t="str">
        <f>IF(OR(J380="Krankenstand",J380="Urlaub"),"",IF(J380="","",VLOOKUP(D380,Dienste!C:W,7,)))</f>
        <v/>
      </c>
      <c r="W380" s="18" t="str">
        <f>IF(OR(J380="Krankenstand",J380="Urlaub"),"",IF(J380="","",VLOOKUP(D380,Dienste!C:W,11,)))</f>
        <v/>
      </c>
      <c r="X380" s="18" t="str">
        <f>IF(OR(J380="Krankenstand",J380="Urlaub"),"",IF(J380="","",VLOOKUP(D380,Dienste!C:W,12,)))</f>
        <v/>
      </c>
      <c r="Y380" s="19" t="str">
        <f>IF(OR(J380="Krankenstand",J380="Urlaub"),"",IF(J380="","",VLOOKUP(D380,Dienste!C:W,14,)))</f>
        <v/>
      </c>
      <c r="Z380" s="20" t="str">
        <f>IF(OR(J380="Krankenstand",J380="Urlaub"),"",IF(J380="","",VLOOKUP(D380,Dienste!C:W,15,)))</f>
        <v/>
      </c>
      <c r="AA380" s="124" t="str">
        <f t="shared" si="173"/>
        <v/>
      </c>
      <c r="AB380" s="19" t="str">
        <f t="shared" si="174"/>
        <v/>
      </c>
      <c r="AC380" s="126" t="str">
        <f>_xlfn.CONCAT(_xlfn.CONCAT(IF(I380="","",_xlfn.CONCAT("FT: ",I380,IF(J380="","","; "))),IF(B380&lt;Datenblatt!$B$9,"",IF(B380="","",IF(NOT(J380=""),SUBSTITUTE(SUBSTITUTE(SUBSTITUTE(J380," mR","")," oR","")," O",""),"")))),IF(AF380="","",_xlfn.CONCAT(CHAR(10),"; ",AF380)))</f>
        <v>FT: Nationalfeiertag</v>
      </c>
      <c r="AD380" s="124">
        <f t="shared" si="183"/>
        <v>6.67</v>
      </c>
      <c r="AE380" s="19">
        <f t="shared" si="175"/>
        <v>0</v>
      </c>
      <c r="AF380" s="156"/>
    </row>
    <row r="381" spans="2:32" s="9" customFormat="1" ht="13">
      <c r="B381" s="6">
        <f t="shared" si="176"/>
        <v>44861</v>
      </c>
      <c r="C381" s="45">
        <f>SMALL(Daten!W:W,COUNTIF(Daten!W:W,"&lt;"&amp;Stundenaufzeichnung!B381+1))</f>
        <v>44578</v>
      </c>
      <c r="D381" s="45" t="str">
        <f t="shared" si="171"/>
        <v/>
      </c>
      <c r="E381" s="8">
        <f t="shared" si="172"/>
        <v>6</v>
      </c>
      <c r="F381" s="8">
        <f t="shared" si="177"/>
        <v>4</v>
      </c>
      <c r="G381" s="8">
        <f>IF(B381="","",VLOOKUP(E381,Datenblatt!$L$2:$N$8,3,FALSE))</f>
        <v>0</v>
      </c>
      <c r="H381" s="8" t="str">
        <f t="shared" si="178"/>
        <v/>
      </c>
      <c r="I381" s="11" t="str">
        <f>IFERROR(VLOOKUP(B381,Datenblatt!$E:$F,2,FALSE),"")</f>
        <v/>
      </c>
      <c r="J381" s="113"/>
      <c r="K381" s="19">
        <f>IF(B381&lt;Datenblatt!$B$9,"",IF(B381="","",IF(G381=0,Datenblatt!$B$7,"")))</f>
        <v>6.67</v>
      </c>
      <c r="L381" s="19" t="str">
        <f t="shared" si="179"/>
        <v/>
      </c>
      <c r="M381" s="124" t="str">
        <f t="shared" si="180"/>
        <v/>
      </c>
      <c r="N381" s="124" t="str">
        <f>IF(AND(L381=Datenblatt!$B$7,NOT(L380=Datenblatt!$B$7),NOT(L382=Datenblatt!$B$7)),"y",IF(AND(L381=Datenblatt!$B$7,L382=Datenblatt!$B$7,NOT(L380=Datenblatt!$B$7)),"a",IF(AND(L381=Datenblatt!$B$7,L380=Datenblatt!$B$7,NOT(L382=Datenblatt!$B$7)),"b","")))</f>
        <v/>
      </c>
      <c r="O381" s="19" t="str">
        <f t="shared" si="181"/>
        <v/>
      </c>
      <c r="P381" s="124" t="str">
        <f>IF(AND(M381=Datenblatt!$B$7,NOT(M380=Datenblatt!$B$7),NOT(M382=Datenblatt!$B$7)),"y",IF(AND(M381=Datenblatt!$B$7,M382=Datenblatt!$B$7,NOT(M380=Datenblatt!$B$7)),"a",IF(AND(M381=Datenblatt!$B$7,M380=Datenblatt!$B$7,NOT(M382=Datenblatt!$B$7)),"b","")))</f>
        <v/>
      </c>
      <c r="Q381" s="19" t="str">
        <f t="shared" si="182"/>
        <v/>
      </c>
      <c r="R381" s="124" t="str">
        <f>IF(I381="","",IF(AND(OR(J381="Krankenstand",J381="Urlaub",J381=""), AND(G381=0,NOT(I381=""))),Datenblatt!$B$7,""))</f>
        <v/>
      </c>
      <c r="S381" s="19" t="str">
        <f>IF(OR(J381="Krankenstand",J381="Urlaub"),"",IF(J381="","",VLOOKUP(D381,Dienste!C:W,21,)))</f>
        <v/>
      </c>
      <c r="T381" s="18" t="str">
        <f>IF(OR(J381="Krankenstand",J381="Urlaub"),"",IF(J381="","",VLOOKUP(D381,Dienste!C:W,5,)))</f>
        <v/>
      </c>
      <c r="U381" s="18" t="str">
        <f>IF(OR(J381="Krankenstand",J381="Urlaub"),"",IF(J381="","",VLOOKUP(D381,Dienste!C:W,6,)))</f>
        <v/>
      </c>
      <c r="V381" s="18" t="str">
        <f>IF(OR(J381="Krankenstand",J381="Urlaub"),"",IF(J381="","",VLOOKUP(D381,Dienste!C:W,7,)))</f>
        <v/>
      </c>
      <c r="W381" s="18" t="str">
        <f>IF(OR(J381="Krankenstand",J381="Urlaub"),"",IF(J381="","",VLOOKUP(D381,Dienste!C:W,11,)))</f>
        <v/>
      </c>
      <c r="X381" s="18" t="str">
        <f>IF(OR(J381="Krankenstand",J381="Urlaub"),"",IF(J381="","",VLOOKUP(D381,Dienste!C:W,12,)))</f>
        <v/>
      </c>
      <c r="Y381" s="19" t="str">
        <f>IF(OR(J381="Krankenstand",J381="Urlaub"),"",IF(J381="","",VLOOKUP(D381,Dienste!C:W,14,)))</f>
        <v/>
      </c>
      <c r="Z381" s="20" t="str">
        <f>IF(OR(J381="Krankenstand",J381="Urlaub"),"",IF(J381="","",VLOOKUP(D381,Dienste!C:W,15,)))</f>
        <v/>
      </c>
      <c r="AA381" s="124" t="str">
        <f t="shared" si="173"/>
        <v/>
      </c>
      <c r="AB381" s="19" t="str">
        <f t="shared" si="174"/>
        <v/>
      </c>
      <c r="AC381" s="126" t="str">
        <f>_xlfn.CONCAT(_xlfn.CONCAT(IF(I381="","",_xlfn.CONCAT("FT: ",I381,IF(J381="","","; "))),IF(B381&lt;Datenblatt!$B$9,"",IF(B381="","",IF(NOT(J381=""),SUBSTITUTE(SUBSTITUTE(SUBSTITUTE(J381," mR","")," oR","")," O",""),"")))),IF(AF381="","",_xlfn.CONCAT(CHAR(10),"; ",AF381)))</f>
        <v/>
      </c>
      <c r="AD381" s="124" t="str">
        <f t="shared" si="183"/>
        <v/>
      </c>
      <c r="AE381" s="19">
        <f t="shared" si="175"/>
        <v>0</v>
      </c>
      <c r="AF381" s="156"/>
    </row>
    <row r="382" spans="2:32" s="9" customFormat="1" ht="13">
      <c r="B382" s="6">
        <f t="shared" si="176"/>
        <v>44862</v>
      </c>
      <c r="C382" s="45">
        <f>SMALL(Daten!W:W,COUNTIF(Daten!W:W,"&lt;"&amp;Stundenaufzeichnung!B382+1))</f>
        <v>44578</v>
      </c>
      <c r="D382" s="45" t="str">
        <f t="shared" si="171"/>
        <v/>
      </c>
      <c r="E382" s="8">
        <f t="shared" si="172"/>
        <v>7</v>
      </c>
      <c r="F382" s="8">
        <f t="shared" si="177"/>
        <v>5</v>
      </c>
      <c r="G382" s="8">
        <f>IF(B382="","",VLOOKUP(E382,Datenblatt!$L$2:$N$8,3,FALSE))</f>
        <v>0</v>
      </c>
      <c r="H382" s="8" t="str">
        <f t="shared" si="178"/>
        <v/>
      </c>
      <c r="I382" s="11" t="str">
        <f>IFERROR(VLOOKUP(B382,Datenblatt!$E:$F,2,FALSE),"")</f>
        <v/>
      </c>
      <c r="J382" s="113"/>
      <c r="K382" s="19">
        <f>IF(B382&lt;Datenblatt!$B$9,"",IF(B382="","",IF(G382=0,Datenblatt!$B$7,"")))</f>
        <v>6.67</v>
      </c>
      <c r="L382" s="19" t="str">
        <f t="shared" si="179"/>
        <v/>
      </c>
      <c r="M382" s="124" t="str">
        <f t="shared" si="180"/>
        <v/>
      </c>
      <c r="N382" s="124" t="str">
        <f>IF(AND(L382=Datenblatt!$B$7,NOT(L381=Datenblatt!$B$7),NOT(L383=Datenblatt!$B$7)),"y",IF(AND(L382=Datenblatt!$B$7,L383=Datenblatt!$B$7,NOT(L381=Datenblatt!$B$7)),"a",IF(AND(L382=Datenblatt!$B$7,L381=Datenblatt!$B$7,NOT(L383=Datenblatt!$B$7)),"b","")))</f>
        <v/>
      </c>
      <c r="O382" s="19" t="str">
        <f t="shared" si="181"/>
        <v/>
      </c>
      <c r="P382" s="124" t="str">
        <f>IF(AND(M382=Datenblatt!$B$7,NOT(M381=Datenblatt!$B$7),NOT(M383=Datenblatt!$B$7)),"y",IF(AND(M382=Datenblatt!$B$7,M383=Datenblatt!$B$7,NOT(M381=Datenblatt!$B$7)),"a",IF(AND(M382=Datenblatt!$B$7,M381=Datenblatt!$B$7,NOT(M383=Datenblatt!$B$7)),"b","")))</f>
        <v/>
      </c>
      <c r="Q382" s="19" t="str">
        <f t="shared" si="182"/>
        <v/>
      </c>
      <c r="R382" s="124" t="str">
        <f>IF(I382="","",IF(AND(OR(J382="Krankenstand",J382="Urlaub",J382=""), AND(G382=0,NOT(I382=""))),Datenblatt!$B$7,""))</f>
        <v/>
      </c>
      <c r="S382" s="19" t="str">
        <f>IF(OR(J382="Krankenstand",J382="Urlaub"),"",IF(J382="","",VLOOKUP(D382,Dienste!C:W,21,)))</f>
        <v/>
      </c>
      <c r="T382" s="18" t="str">
        <f>IF(OR(J382="Krankenstand",J382="Urlaub"),"",IF(J382="","",VLOOKUP(D382,Dienste!C:W,5,)))</f>
        <v/>
      </c>
      <c r="U382" s="18" t="str">
        <f>IF(OR(J382="Krankenstand",J382="Urlaub"),"",IF(J382="","",VLOOKUP(D382,Dienste!C:W,6,)))</f>
        <v/>
      </c>
      <c r="V382" s="18" t="str">
        <f>IF(OR(J382="Krankenstand",J382="Urlaub"),"",IF(J382="","",VLOOKUP(D382,Dienste!C:W,7,)))</f>
        <v/>
      </c>
      <c r="W382" s="18" t="str">
        <f>IF(OR(J382="Krankenstand",J382="Urlaub"),"",IF(J382="","",VLOOKUP(D382,Dienste!C:W,11,)))</f>
        <v/>
      </c>
      <c r="X382" s="18" t="str">
        <f>IF(OR(J382="Krankenstand",J382="Urlaub"),"",IF(J382="","",VLOOKUP(D382,Dienste!C:W,12,)))</f>
        <v/>
      </c>
      <c r="Y382" s="19" t="str">
        <f>IF(OR(J382="Krankenstand",J382="Urlaub"),"",IF(J382="","",VLOOKUP(D382,Dienste!C:W,14,)))</f>
        <v/>
      </c>
      <c r="Z382" s="20" t="str">
        <f>IF(OR(J382="Krankenstand",J382="Urlaub"),"",IF(J382="","",VLOOKUP(D382,Dienste!C:W,15,)))</f>
        <v/>
      </c>
      <c r="AA382" s="124" t="str">
        <f t="shared" si="173"/>
        <v/>
      </c>
      <c r="AB382" s="19" t="str">
        <f t="shared" si="174"/>
        <v/>
      </c>
      <c r="AC382" s="126" t="str">
        <f>_xlfn.CONCAT(_xlfn.CONCAT(IF(I382="","",_xlfn.CONCAT("FT: ",I382,IF(J382="","","; "))),IF(B382&lt;Datenblatt!$B$9,"",IF(B382="","",IF(NOT(J382=""),SUBSTITUTE(SUBSTITUTE(SUBSTITUTE(J382," mR","")," oR","")," O",""),"")))),IF(AF382="","",_xlfn.CONCAT(CHAR(10),"; ",AF382)))</f>
        <v/>
      </c>
      <c r="AD382" s="124" t="str">
        <f t="shared" si="183"/>
        <v/>
      </c>
      <c r="AE382" s="19">
        <f t="shared" si="175"/>
        <v>0</v>
      </c>
      <c r="AF382" s="156"/>
    </row>
    <row r="383" spans="2:32" s="9" customFormat="1" ht="13">
      <c r="B383" s="6">
        <f>IF(B382="","",IF(DAY(B382+1)&lt;29,"",B382+1))</f>
        <v>44863</v>
      </c>
      <c r="C383" s="45">
        <f>SMALL(Daten!W:W,COUNTIF(Daten!W:W,"&lt;"&amp;Stundenaufzeichnung!B383+1))</f>
        <v>44578</v>
      </c>
      <c r="D383" s="45" t="str">
        <f t="shared" si="171"/>
        <v/>
      </c>
      <c r="E383" s="8">
        <f t="shared" si="172"/>
        <v>1</v>
      </c>
      <c r="F383" s="8">
        <f>IF(B383="","",MOD(E383+$F$3,7)+1)</f>
        <v>6</v>
      </c>
      <c r="G383" s="8">
        <f>IF(B383="","",VLOOKUP(E383,Datenblatt!$L$2:$N$8,3,FALSE))</f>
        <v>0</v>
      </c>
      <c r="H383" s="8" t="str">
        <f t="shared" si="178"/>
        <v/>
      </c>
      <c r="I383" s="11" t="str">
        <f>IFERROR(VLOOKUP(B383,Datenblatt!$E:$F,2,FALSE),"")</f>
        <v/>
      </c>
      <c r="J383" s="113"/>
      <c r="K383" s="19">
        <f>IF(B383&lt;Datenblatt!$B$9,"",IF(B383="","",IF(G383=0,Datenblatt!$B$7,"")))</f>
        <v>6.67</v>
      </c>
      <c r="L383" s="19" t="str">
        <f t="shared" si="179"/>
        <v/>
      </c>
      <c r="M383" s="124" t="str">
        <f t="shared" si="180"/>
        <v/>
      </c>
      <c r="N383" s="124" t="str">
        <f>IF(AND(L383=Datenblatt!$B$7,NOT(L382=Datenblatt!$B$7),NOT(L384=Datenblatt!$B$7)),"y",IF(AND(L383=Datenblatt!$B$7,L384=Datenblatt!$B$7,NOT(L382=Datenblatt!$B$7)),"a",IF(AND(L383=Datenblatt!$B$7,L382=Datenblatt!$B$7,NOT(L384=Datenblatt!$B$7)),"b","")))</f>
        <v/>
      </c>
      <c r="O383" s="19" t="str">
        <f t="shared" si="181"/>
        <v/>
      </c>
      <c r="P383" s="124" t="str">
        <f>IF(AND(M383=Datenblatt!$B$7,NOT(M382=Datenblatt!$B$7),NOT(M384=Datenblatt!$B$7)),"y",IF(AND(M383=Datenblatt!$B$7,M384=Datenblatt!$B$7,NOT(M382=Datenblatt!$B$7)),"a",IF(AND(M383=Datenblatt!$B$7,M382=Datenblatt!$B$7,NOT(M384=Datenblatt!$B$7)),"b","")))</f>
        <v/>
      </c>
      <c r="Q383" s="19" t="str">
        <f t="shared" si="182"/>
        <v/>
      </c>
      <c r="R383" s="124" t="str">
        <f>IF(I383="","",IF(AND(OR(J383="Krankenstand",J383="Urlaub",J383=""), AND(G383=0,NOT(I383=""))),Datenblatt!$B$7,""))</f>
        <v/>
      </c>
      <c r="S383" s="19" t="str">
        <f>IF(OR(J383="Krankenstand",J383="Urlaub"),"",IF(J383="","",VLOOKUP(D383,Dienste!C:W,21,)))</f>
        <v/>
      </c>
      <c r="T383" s="18" t="str">
        <f>IF(OR(J383="Krankenstand",J383="Urlaub"),"",IF(J383="","",VLOOKUP(D383,Dienste!C:W,5,)))</f>
        <v/>
      </c>
      <c r="U383" s="18" t="str">
        <f>IF(OR(J383="Krankenstand",J383="Urlaub"),"",IF(J383="","",VLOOKUP(D383,Dienste!C:W,6,)))</f>
        <v/>
      </c>
      <c r="V383" s="18" t="str">
        <f>IF(OR(J383="Krankenstand",J383="Urlaub"),"",IF(J383="","",VLOOKUP(D383,Dienste!C:W,7,)))</f>
        <v/>
      </c>
      <c r="W383" s="18" t="str">
        <f>IF(OR(J383="Krankenstand",J383="Urlaub"),"",IF(J383="","",VLOOKUP(D383,Dienste!C:W,11,)))</f>
        <v/>
      </c>
      <c r="X383" s="18" t="str">
        <f>IF(OR(J383="Krankenstand",J383="Urlaub"),"",IF(J383="","",VLOOKUP(D383,Dienste!C:W,12,)))</f>
        <v/>
      </c>
      <c r="Y383" s="19" t="str">
        <f>IF(OR(J383="Krankenstand",J383="Urlaub"),"",IF(J383="","",VLOOKUP(D383,Dienste!C:W,14,)))</f>
        <v/>
      </c>
      <c r="Z383" s="20" t="str">
        <f>IF(OR(J383="Krankenstand",J383="Urlaub"),"",IF(J383="","",VLOOKUP(D383,Dienste!C:W,15,)))</f>
        <v/>
      </c>
      <c r="AA383" s="124" t="str">
        <f t="shared" si="173"/>
        <v/>
      </c>
      <c r="AB383" s="19" t="str">
        <f t="shared" si="174"/>
        <v/>
      </c>
      <c r="AC383" s="126" t="str">
        <f>_xlfn.CONCAT(_xlfn.CONCAT(IF(I383="","",_xlfn.CONCAT("FT: ",I383,IF(J383="","","; "))),IF(B383&lt;Datenblatt!$B$9,"",IF(B383="","",IF(NOT(J383=""),SUBSTITUTE(SUBSTITUTE(SUBSTITUTE(J383," mR","")," oR","")," O",""),"")))),IF(AF383="","",_xlfn.CONCAT(CHAR(10),"; ",AF383)))</f>
        <v/>
      </c>
      <c r="AD383" s="124" t="str">
        <f t="shared" si="183"/>
        <v/>
      </c>
      <c r="AE383" s="19">
        <f t="shared" si="175"/>
        <v>0</v>
      </c>
      <c r="AF383" s="156"/>
    </row>
    <row r="384" spans="2:32" s="9" customFormat="1" ht="13">
      <c r="B384" s="6">
        <f>IF(B383="","",IF(DAY(B383+1)&lt;30,"",B383+1))</f>
        <v>44864</v>
      </c>
      <c r="C384" s="45">
        <f>SMALL(Daten!W:W,COUNTIF(Daten!W:W,"&lt;"&amp;Stundenaufzeichnung!B384+1))</f>
        <v>44578</v>
      </c>
      <c r="D384" s="45" t="str">
        <f t="shared" si="171"/>
        <v/>
      </c>
      <c r="E384" s="8">
        <f t="shared" si="172"/>
        <v>2</v>
      </c>
      <c r="F384" s="8">
        <f>IF(B384="","",MOD(E384+$F$3,7)+1)</f>
        <v>7</v>
      </c>
      <c r="G384" s="8">
        <f>IF(B384="","",VLOOKUP(E384,Datenblatt!$L$2:$N$8,3,FALSE))</f>
        <v>1</v>
      </c>
      <c r="H384" s="8" t="str">
        <f t="shared" si="178"/>
        <v>x</v>
      </c>
      <c r="I384" s="11" t="str">
        <f>IFERROR(VLOOKUP(B384,Datenblatt!$E:$F,2,FALSE),"")</f>
        <v/>
      </c>
      <c r="J384" s="113"/>
      <c r="K384" s="19" t="str">
        <f>IF(B384&lt;Datenblatt!$B$9,"",IF(B384="","",IF(G384=0,Datenblatt!$B$7,"")))</f>
        <v/>
      </c>
      <c r="L384" s="19" t="str">
        <f t="shared" si="179"/>
        <v/>
      </c>
      <c r="M384" s="124" t="str">
        <f t="shared" si="180"/>
        <v/>
      </c>
      <c r="N384" s="124" t="str">
        <f>IF(AND(L384=Datenblatt!$B$7,NOT(L383=Datenblatt!$B$7),NOT(L385=Datenblatt!$B$7)),"y",IF(AND(L384=Datenblatt!$B$7,L385=Datenblatt!$B$7,NOT(L383=Datenblatt!$B$7)),"a",IF(AND(L384=Datenblatt!$B$7,L383=Datenblatt!$B$7,NOT(L385=Datenblatt!$B$7)),"b","")))</f>
        <v/>
      </c>
      <c r="O384" s="19" t="str">
        <f t="shared" si="181"/>
        <v/>
      </c>
      <c r="P384" s="124" t="str">
        <f>IF(AND(M384=Datenblatt!$B$7,NOT(M383=Datenblatt!$B$7),NOT(M385=Datenblatt!$B$7)),"y",IF(AND(M384=Datenblatt!$B$7,M385=Datenblatt!$B$7,NOT(M383=Datenblatt!$B$7)),"a",IF(AND(M384=Datenblatt!$B$7,M383=Datenblatt!$B$7,NOT(M385=Datenblatt!$B$7)),"b","")))</f>
        <v/>
      </c>
      <c r="Q384" s="19" t="str">
        <f t="shared" si="182"/>
        <v/>
      </c>
      <c r="R384" s="124" t="str">
        <f>IF(I384="","",IF(AND(OR(J384="Krankenstand",J384="Urlaub",J384=""), AND(G384=0,NOT(I384=""))),Datenblatt!$B$7,""))</f>
        <v/>
      </c>
      <c r="S384" s="19" t="str">
        <f>IF(OR(J384="Krankenstand",J384="Urlaub"),"",IF(J384="","",VLOOKUP(D384,Dienste!C:W,21,)))</f>
        <v/>
      </c>
      <c r="T384" s="18" t="str">
        <f>IF(OR(J384="Krankenstand",J384="Urlaub"),"",IF(J384="","",VLOOKUP(D384,Dienste!C:W,5,)))</f>
        <v/>
      </c>
      <c r="U384" s="18" t="str">
        <f>IF(OR(J384="Krankenstand",J384="Urlaub"),"",IF(J384="","",VLOOKUP(D384,Dienste!C:W,6,)))</f>
        <v/>
      </c>
      <c r="V384" s="18" t="str">
        <f>IF(OR(J384="Krankenstand",J384="Urlaub"),"",IF(J384="","",VLOOKUP(D384,Dienste!C:W,7,)))</f>
        <v/>
      </c>
      <c r="W384" s="18" t="str">
        <f>IF(OR(J384="Krankenstand",J384="Urlaub"),"",IF(J384="","",VLOOKUP(D384,Dienste!C:W,11,)))</f>
        <v/>
      </c>
      <c r="X384" s="18" t="str">
        <f>IF(OR(J384="Krankenstand",J384="Urlaub"),"",IF(J384="","",VLOOKUP(D384,Dienste!C:W,12,)))</f>
        <v/>
      </c>
      <c r="Y384" s="19" t="str">
        <f>IF(OR(J384="Krankenstand",J384="Urlaub"),"",IF(J384="","",VLOOKUP(D384,Dienste!C:W,14,)))</f>
        <v/>
      </c>
      <c r="Z384" s="20" t="str">
        <f>IF(OR(J384="Krankenstand",J384="Urlaub"),"",IF(J384="","",VLOOKUP(D384,Dienste!C:W,15,)))</f>
        <v/>
      </c>
      <c r="AA384" s="124" t="str">
        <f>IF(OR(Y384="",NOT(AB384="")),"",IF(AND(Y384&lt;AE385,AE385&gt;0),Y384,IF(AE385&gt;0,AE385,"")))</f>
        <v/>
      </c>
      <c r="AB384" s="19" t="str">
        <f t="shared" si="174"/>
        <v/>
      </c>
      <c r="AC384" s="126" t="str">
        <f>_xlfn.CONCAT(_xlfn.CONCAT(IF(I384="","",_xlfn.CONCAT("FT: ",I384,IF(J384="","","; "))),IF(B384&lt;Datenblatt!$B$9,"",IF(B384="","",IF(NOT(J384=""),SUBSTITUTE(SUBSTITUTE(SUBSTITUTE(J384," mR","")," oR","")," O",""),"")))),IF(AF384="","",_xlfn.CONCAT(CHAR(10),"; ",AF384)))</f>
        <v/>
      </c>
      <c r="AD384" s="124" t="str">
        <f t="shared" si="183"/>
        <v/>
      </c>
      <c r="AE384" s="19">
        <f t="shared" si="175"/>
        <v>0</v>
      </c>
      <c r="AF384" s="156"/>
    </row>
    <row r="385" spans="1:32" s="9" customFormat="1" ht="13">
      <c r="B385" s="28">
        <f>IF(B384="","",IF(DAY(B384+1)&lt;31,"",B384+1))</f>
        <v>44865</v>
      </c>
      <c r="C385" s="47">
        <f>SMALL(Daten!W:W,COUNTIF(Daten!W:W,"&lt;"&amp;Stundenaufzeichnung!B385+1))</f>
        <v>44578</v>
      </c>
      <c r="D385" s="47" t="str">
        <f t="shared" si="171"/>
        <v/>
      </c>
      <c r="E385" s="29">
        <f t="shared" si="172"/>
        <v>3</v>
      </c>
      <c r="F385" s="29">
        <f>IF(B385="","",MOD(E385+$F$3,7)+1)</f>
        <v>1</v>
      </c>
      <c r="G385" s="29">
        <f>IF(B385="","",VLOOKUP(E385,Datenblatt!$L$2:$N$8,3,FALSE))</f>
        <v>0</v>
      </c>
      <c r="H385" s="29" t="str">
        <f t="shared" si="178"/>
        <v/>
      </c>
      <c r="I385" s="123" t="str">
        <f>IFERROR(VLOOKUP(B385,Datenblatt!$E:$F,2,FALSE),"")</f>
        <v/>
      </c>
      <c r="J385" s="114"/>
      <c r="K385" s="30">
        <f>IF(B385&lt;Datenblatt!$B$9,"",IF(B385="","",IF(G385=0,Datenblatt!$B$7,"")))</f>
        <v>6.67</v>
      </c>
      <c r="L385" s="30" t="str">
        <f t="shared" si="179"/>
        <v/>
      </c>
      <c r="M385" s="30" t="str">
        <f t="shared" si="180"/>
        <v/>
      </c>
      <c r="N385" s="30" t="str">
        <f>IF(AND(L385=Datenblatt!$B$7,NOT(L384=Datenblatt!$B$7),NOT(L386=Datenblatt!$B$7)),"y",IF(AND(L385=Datenblatt!$B$7,L386=Datenblatt!$B$7,NOT(L384=Datenblatt!$B$7)),"a",IF(AND(L385=Datenblatt!$B$7,L384=Datenblatt!$B$7,NOT(L386=Datenblatt!$B$7)),"b","")))</f>
        <v/>
      </c>
      <c r="O385" s="30" t="str">
        <f t="shared" si="181"/>
        <v/>
      </c>
      <c r="P385" s="30" t="str">
        <f>IF(AND(M385=Datenblatt!$B$7,NOT(M384=Datenblatt!$B$7),NOT(M386=Datenblatt!$B$7)),"y",IF(AND(M385=Datenblatt!$B$7,M386=Datenblatt!$B$7,NOT(M384=Datenblatt!$B$7)),"a",IF(AND(M385=Datenblatt!$B$7,M384=Datenblatt!$B$7,NOT(M386=Datenblatt!$B$7)),"b","")))</f>
        <v/>
      </c>
      <c r="Q385" s="30" t="str">
        <f t="shared" si="182"/>
        <v/>
      </c>
      <c r="R385" s="30" t="str">
        <f>IF(I385="","",IF(AND(OR(J385="Krankenstand",J385="Urlaub",J385=""), AND(G385=0,NOT(I385=""))),Datenblatt!$B$7,""))</f>
        <v/>
      </c>
      <c r="S385" s="30" t="str">
        <f>IF(OR(J385="Krankenstand",J385="Urlaub"),"",IF(J385="","",VLOOKUP(D385,Dienste!C:W,21,)))</f>
        <v/>
      </c>
      <c r="T385" s="31" t="str">
        <f>IF(OR(J385="Krankenstand",J385="Urlaub"),"",IF(J385="","",VLOOKUP(D385,Dienste!C:W,5,)))</f>
        <v/>
      </c>
      <c r="U385" s="31" t="str">
        <f>IF(OR(J385="Krankenstand",J385="Urlaub"),"",IF(J385="","",VLOOKUP(D385,Dienste!C:W,6,)))</f>
        <v/>
      </c>
      <c r="V385" s="31" t="str">
        <f>IF(OR(J385="Krankenstand",J385="Urlaub"),"",IF(J385="","",VLOOKUP(D385,Dienste!C:W,7,)))</f>
        <v/>
      </c>
      <c r="W385" s="31" t="str">
        <f>IF(OR(J385="Krankenstand",J385="Urlaub"),"",IF(J385="","",VLOOKUP(D385,Dienste!C:W,11,)))</f>
        <v/>
      </c>
      <c r="X385" s="31" t="str">
        <f>IF(OR(J385="Krankenstand",J385="Urlaub"),"",IF(J385="","",VLOOKUP(D385,Dienste!C:W,12,)))</f>
        <v/>
      </c>
      <c r="Y385" s="30" t="str">
        <f>IF(OR(J385="Krankenstand",J385="Urlaub"),"",IF(J385="","",VLOOKUP(D385,Dienste!C:W,14,)))</f>
        <v/>
      </c>
      <c r="Z385" s="32" t="str">
        <f>IF(OR(J385="Krankenstand",J385="Urlaub"),"",IF(J385="","",VLOOKUP(D385,Dienste!C:W,15,)))</f>
        <v/>
      </c>
      <c r="AA385" s="30" t="str">
        <f>IF(OR(Y385="",NOT(AB385="")),"",IF(AND(Y385&lt;AE386,AE386&gt;0),Y385,IF(AE386&gt;0,AE386,"")))</f>
        <v/>
      </c>
      <c r="AB385" s="30" t="str">
        <f t="shared" si="174"/>
        <v/>
      </c>
      <c r="AC385" s="125" t="str">
        <f>_xlfn.CONCAT(_xlfn.CONCAT(IF(I385="","",_xlfn.CONCAT("FT: ",I385,IF(J385="","","; "))),IF(B385&lt;Datenblatt!$B$9,"",IF(B385="","",IF(NOT(J385=""),SUBSTITUTE(SUBSTITUTE(SUBSTITUTE(J385," mR","")," oR","")," O",""),"")))),IF(AF385="","",_xlfn.CONCAT(CHAR(10),"; ",AF385)))</f>
        <v/>
      </c>
      <c r="AD385" s="30" t="str">
        <f t="shared" si="183"/>
        <v/>
      </c>
      <c r="AE385" s="30">
        <f>IF(OR(Y385="",NOT(AB385="")),AE386,AE386-Y385)</f>
        <v>0</v>
      </c>
      <c r="AF385" s="157"/>
    </row>
    <row r="386" spans="1:32" s="8" customFormat="1" ht="13">
      <c r="AA386" s="19">
        <f>IF(AD387-AB387-K387&lt;0,0,AD387-AB387-K387)</f>
        <v>0</v>
      </c>
      <c r="AC386" s="17" t="s">
        <v>193</v>
      </c>
      <c r="AE386" s="19">
        <f>AA386</f>
        <v>0</v>
      </c>
      <c r="AF386" s="17"/>
    </row>
    <row r="387" spans="1:32" s="8" customFormat="1" ht="13">
      <c r="B387" s="25" t="str">
        <f>"Summen "&amp;TEXT(B355,"MMMM")</f>
        <v>Summen Oktober</v>
      </c>
      <c r="C387" s="25"/>
      <c r="D387" s="25"/>
      <c r="E387" s="17"/>
      <c r="F387" s="17"/>
      <c r="G387" s="17"/>
      <c r="H387" s="17"/>
      <c r="I387" s="17"/>
      <c r="J387" s="17"/>
      <c r="K387" s="19">
        <f>SUM(K355:K385)</f>
        <v>173.41999999999993</v>
      </c>
      <c r="L387" s="19">
        <f t="shared" ref="L387:M387" si="184">SUM(L355:L385)</f>
        <v>0</v>
      </c>
      <c r="M387" s="19">
        <f t="shared" si="184"/>
        <v>0</v>
      </c>
      <c r="N387" s="19"/>
      <c r="O387" s="19" t="str">
        <f>IF(_xlfn.CONCAT(O355:O385)="","",REPLACE(_xlfn.CONCAT(O355:O385),LEN(_xlfn.CONCAT(O355:O385))-1,1,""))</f>
        <v/>
      </c>
      <c r="P387" s="19"/>
      <c r="Q387" s="19" t="str">
        <f t="shared" ref="Q387" si="185">IF(_xlfn.CONCAT(Q355:Q385)="","",REPLACE(_xlfn.CONCAT(Q355:Q385),LEN(_xlfn.CONCAT(Q355:Q385))-1,1,""))</f>
        <v/>
      </c>
      <c r="R387" s="19">
        <f t="shared" ref="R387:S387" si="186">SUM(R355:R385)</f>
        <v>6.67</v>
      </c>
      <c r="S387" s="19">
        <f t="shared" si="186"/>
        <v>0</v>
      </c>
      <c r="T387" s="19"/>
      <c r="U387" s="19"/>
      <c r="V387" s="19"/>
      <c r="W387" s="19"/>
      <c r="X387" s="17"/>
      <c r="Y387" s="19">
        <f>SUM(Y355:Y385)</f>
        <v>0</v>
      </c>
      <c r="Z387" s="20">
        <f>SUM(Z355:Z385)</f>
        <v>0</v>
      </c>
      <c r="AA387" s="26">
        <f>IF(AA386&gt;10,10,AA386)</f>
        <v>0</v>
      </c>
      <c r="AB387" s="19">
        <f t="shared" ref="AB387" si="187">SUM(AB355:AB385)</f>
        <v>0</v>
      </c>
      <c r="AC387" s="20">
        <f>R388</f>
        <v>1</v>
      </c>
      <c r="AD387" s="19">
        <f>SUM(AD355:AD385)</f>
        <v>6.67</v>
      </c>
      <c r="AE387" s="19"/>
      <c r="AF387" s="20"/>
    </row>
    <row r="388" spans="1:32" s="8" customFormat="1" ht="13">
      <c r="B388" s="25" t="str">
        <f>"Anzahl "&amp;TEXT(B355,"MMMM")</f>
        <v>Anzahl Oktober</v>
      </c>
      <c r="C388" s="25"/>
      <c r="D388" s="25"/>
      <c r="E388" s="17"/>
      <c r="F388" s="17"/>
      <c r="G388" s="17"/>
      <c r="H388" s="17"/>
      <c r="I388" s="17"/>
      <c r="J388" s="17"/>
      <c r="K388" s="17">
        <f>COUNT(K355:K385)</f>
        <v>26</v>
      </c>
      <c r="L388" s="17">
        <f t="shared" ref="L388:M388" si="188">COUNT(L355:L385)</f>
        <v>0</v>
      </c>
      <c r="M388" s="17">
        <f t="shared" si="188"/>
        <v>0</v>
      </c>
      <c r="N388" s="17"/>
      <c r="O388" s="17"/>
      <c r="P388" s="17"/>
      <c r="Q388" s="17"/>
      <c r="R388" s="17">
        <f t="shared" ref="R388:S388" si="189">COUNT(R355:R385)</f>
        <v>1</v>
      </c>
      <c r="S388" s="17">
        <f t="shared" si="189"/>
        <v>0</v>
      </c>
      <c r="T388" s="17"/>
      <c r="U388" s="17"/>
      <c r="V388" s="17"/>
      <c r="W388" s="17"/>
      <c r="X388" s="17"/>
      <c r="Y388" s="17"/>
      <c r="Z388" s="17"/>
      <c r="AA388" s="27">
        <f>IF(AA386&gt;10,AA386-10,0)</f>
        <v>0</v>
      </c>
      <c r="AB388" s="17"/>
      <c r="AC388" s="17"/>
      <c r="AD388" s="17"/>
      <c r="AE388" s="17"/>
      <c r="AF388" s="17"/>
    </row>
    <row r="389" spans="1:32" s="8" customFormat="1" ht="13.5" thickBot="1">
      <c r="A389" s="10"/>
      <c r="B389" s="10"/>
      <c r="C389" s="10"/>
      <c r="D389" s="10"/>
      <c r="E389" s="10"/>
      <c r="F389" s="10"/>
      <c r="G389" s="10"/>
      <c r="H389" s="10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0"/>
      <c r="AB389" s="10"/>
      <c r="AC389" s="10"/>
      <c r="AD389" s="34"/>
      <c r="AE389" s="34"/>
      <c r="AF389" s="10"/>
    </row>
    <row r="390" spans="1:32" s="5" customFormat="1"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32" s="5" customFormat="1" ht="18.5">
      <c r="B391" s="33" t="s">
        <v>95</v>
      </c>
      <c r="C391" s="33"/>
      <c r="D391" s="33"/>
      <c r="E391" s="23"/>
      <c r="F391" s="23"/>
      <c r="G391" s="23"/>
      <c r="H391" s="23"/>
      <c r="I391" s="217" t="str">
        <f>Datenblatt!$B$4</f>
        <v>Dummy Name</v>
      </c>
      <c r="J391" s="217"/>
      <c r="K391" s="217"/>
      <c r="L391" s="217"/>
      <c r="M391" s="217"/>
      <c r="N391" s="217"/>
      <c r="O391" s="217"/>
      <c r="P391" s="217"/>
      <c r="Q391" s="217"/>
      <c r="R391" s="217"/>
      <c r="S391" s="217"/>
      <c r="T391" s="218" t="str">
        <f>TEXT(B394,"MMMM JJJJ")</f>
        <v>November 2022</v>
      </c>
      <c r="U391" s="218"/>
      <c r="V391" s="218"/>
      <c r="W391" s="218"/>
      <c r="X391" s="8"/>
      <c r="Y391" s="8"/>
      <c r="Z391" s="8"/>
    </row>
    <row r="392" spans="1:32" s="5" customFormat="1" ht="15" customHeight="1">
      <c r="I392" s="2"/>
      <c r="J392" s="2"/>
      <c r="K392" s="13"/>
      <c r="L392" s="13"/>
      <c r="M392" s="13"/>
      <c r="N392" s="13"/>
      <c r="O392" s="13"/>
      <c r="P392" s="13"/>
      <c r="Q392" s="13"/>
      <c r="R392" s="13"/>
      <c r="S392" s="13"/>
      <c r="T392" s="221" t="s">
        <v>43</v>
      </c>
      <c r="U392" s="221"/>
      <c r="V392" s="221" t="s">
        <v>45</v>
      </c>
      <c r="W392" s="221" t="s">
        <v>116</v>
      </c>
      <c r="X392" s="221" t="s">
        <v>11</v>
      </c>
      <c r="Y392" s="219" t="s">
        <v>194</v>
      </c>
      <c r="Z392" s="219" t="s">
        <v>7</v>
      </c>
      <c r="AA392" s="220" t="s">
        <v>49</v>
      </c>
      <c r="AB392" s="220"/>
      <c r="AC392" s="160"/>
      <c r="AD392" s="160"/>
    </row>
    <row r="393" spans="1:32" s="5" customFormat="1" ht="15" customHeight="1">
      <c r="B393" s="8"/>
      <c r="C393" s="8"/>
      <c r="D393" s="8" t="s">
        <v>161</v>
      </c>
      <c r="E393" s="8"/>
      <c r="F393" s="8">
        <f>VLOOKUP(Datenblatt!$B$8,Datenblatt!$J:$K,2,FALSE)</f>
        <v>4</v>
      </c>
      <c r="G393" s="8" t="s">
        <v>113</v>
      </c>
      <c r="H393" s="8"/>
      <c r="I393" s="12" t="s">
        <v>92</v>
      </c>
      <c r="J393" s="115" t="s">
        <v>12</v>
      </c>
      <c r="K393" s="12" t="s">
        <v>94</v>
      </c>
      <c r="L393" s="12" t="s">
        <v>85</v>
      </c>
      <c r="M393" s="12" t="s">
        <v>88</v>
      </c>
      <c r="N393" s="12" t="s">
        <v>117</v>
      </c>
      <c r="O393" s="12" t="s">
        <v>117</v>
      </c>
      <c r="P393" s="12" t="s">
        <v>118</v>
      </c>
      <c r="Q393" s="12" t="s">
        <v>118</v>
      </c>
      <c r="R393" s="12" t="s">
        <v>112</v>
      </c>
      <c r="S393" s="12" t="s">
        <v>115</v>
      </c>
      <c r="T393" s="15" t="s">
        <v>51</v>
      </c>
      <c r="U393" s="15" t="s">
        <v>50</v>
      </c>
      <c r="V393" s="222"/>
      <c r="W393" s="222"/>
      <c r="X393" s="222"/>
      <c r="Y393" s="219"/>
      <c r="Z393" s="219" t="s">
        <v>7</v>
      </c>
      <c r="AA393" s="21">
        <v>0.5</v>
      </c>
      <c r="AB393" s="16" t="s">
        <v>114</v>
      </c>
      <c r="AC393" s="16" t="s">
        <v>131</v>
      </c>
      <c r="AD393" s="16" t="s">
        <v>131</v>
      </c>
      <c r="AE393" s="128" t="s">
        <v>195</v>
      </c>
      <c r="AF393" s="16" t="s">
        <v>198</v>
      </c>
    </row>
    <row r="394" spans="1:32" s="9" customFormat="1" ht="13">
      <c r="A394" s="9">
        <f>A355+1</f>
        <v>11</v>
      </c>
      <c r="B394" s="6">
        <f>DATE(Datenblatt!$B$3,A394,1)</f>
        <v>44866</v>
      </c>
      <c r="C394" s="45">
        <f>SMALL(Daten!W:W,COUNTIF(Daten!W:W,"&lt;"&amp;Stundenaufzeichnung!B394+1))</f>
        <v>44578</v>
      </c>
      <c r="D394" s="45" t="str">
        <f t="shared" ref="D394:D424" si="190">IF(J394="","",CONCATENATE(C394," ",J394))</f>
        <v/>
      </c>
      <c r="E394" s="8">
        <f t="shared" ref="E394:E424" si="191">IF(B394="","",WEEKDAY(B394,16))</f>
        <v>4</v>
      </c>
      <c r="F394" s="8">
        <f>MOD(E394+$F$3,7)+1</f>
        <v>2</v>
      </c>
      <c r="G394" s="8">
        <f>IF(B394="","",VLOOKUP(E394,Datenblatt!$L$2:$N$8,3,FALSE))</f>
        <v>0</v>
      </c>
      <c r="H394" s="8" t="str">
        <f>IF(OR(G394=1),"x",IF(I394="","","x"))</f>
        <v>x</v>
      </c>
      <c r="I394" s="11" t="str">
        <f>IFERROR(VLOOKUP(B394,Datenblatt!$E:$F,2,FALSE),"")</f>
        <v>Allerheiligen</v>
      </c>
      <c r="J394" s="113"/>
      <c r="K394" s="19">
        <f>IF(B394&lt;Datenblatt!$B$9,"",IF(B394="","",IF(G394=0,Datenblatt!$B$7,"")))</f>
        <v>6.67</v>
      </c>
      <c r="L394" s="19" t="str">
        <f>IF(AND(J394="Krankenstand",R394=""),K394,"")</f>
        <v/>
      </c>
      <c r="M394" s="124" t="str">
        <f>IF(AND(J394="Urlaub",R394=""),K394,"")</f>
        <v/>
      </c>
      <c r="N394" s="124" t="str">
        <f>IF(AND(L394=Datenblatt!$B$7,NOT(L393=Datenblatt!$B$7),NOT(L395=Datenblatt!$B$7)),"y",IF(AND(L394=Datenblatt!$B$7,L395=Datenblatt!$B$7,NOT(L393=Datenblatt!$B$7)),"a",IF(AND(L394=Datenblatt!$B$7,L393=Datenblatt!$B$7,NOT(L395=Datenblatt!$B$7)),"b","")))</f>
        <v/>
      </c>
      <c r="O394" s="19" t="str">
        <f>IF(N394="a",TEXT(B394,"TT.MM.")&amp;" - ",IF(OR(N394="b",N394="y"),TEXT(B394,"TT.MM.")&amp;"; ",""))</f>
        <v/>
      </c>
      <c r="P394" s="124" t="str">
        <f>IF(AND(M394=Datenblatt!$B$7,NOT(M393=Datenblatt!$B$7),NOT(M395=Datenblatt!$B$7)),"y",IF(AND(M394=Datenblatt!$B$7,M395=Datenblatt!$B$7,NOT(M393=Datenblatt!$B$7)),"a",IF(AND(M394=Datenblatt!$B$7,M393=Datenblatt!$B$7,NOT(M395=Datenblatt!$B$7)),"b","")))</f>
        <v/>
      </c>
      <c r="Q394" s="19" t="str">
        <f>IF(P394="a",TEXT(B394,"TT.MM.")&amp;" - ",IF(OR(P394="b",P394="y"),TEXT(B394,"TT.MM.")&amp;"; ",""))</f>
        <v/>
      </c>
      <c r="R394" s="124">
        <f>IF(I394="","",IF(AND(OR(J394="Krankenstand",J394="Urlaub",J394=""), AND(G394=0,NOT(I394=""))),Datenblatt!$B$7,""))</f>
        <v>6.67</v>
      </c>
      <c r="S394" s="19" t="str">
        <f>IF(OR(J394="Krankenstand",J394="Urlaub"),"",IF(J394="","",VLOOKUP(D394,Dienste!C:W,21,)))</f>
        <v/>
      </c>
      <c r="T394" s="18" t="str">
        <f>IF(OR(J394="Krankenstand",J394="Urlaub"),"",IF(J394="","",VLOOKUP(D394,Dienste!C:W,5,)))</f>
        <v/>
      </c>
      <c r="U394" s="18" t="str">
        <f>IF(OR(J394="Krankenstand",J394="Urlaub"),"",IF(J394="","",VLOOKUP(D394,Dienste!C:W,6,)))</f>
        <v/>
      </c>
      <c r="V394" s="18" t="str">
        <f>IF(OR(J394="Krankenstand",J394="Urlaub"),"",IF(J394="","",VLOOKUP(D394,Dienste!C:W,7,)))</f>
        <v/>
      </c>
      <c r="W394" s="18" t="str">
        <f>IF(OR(J394="Krankenstand",J394="Urlaub"),"",IF(J394="","",VLOOKUP(D394,Dienste!C:W,11,)))</f>
        <v/>
      </c>
      <c r="X394" s="18" t="str">
        <f>IF(OR(J394="Krankenstand",J394="Urlaub"),"",IF(J394="","",VLOOKUP(D394,Dienste!C:W,12,)))</f>
        <v/>
      </c>
      <c r="Y394" s="19" t="str">
        <f>IF(OR(J394="Krankenstand",J394="Urlaub"),"",IF(J394="","",VLOOKUP(D394,Dienste!C:W,14,)))</f>
        <v/>
      </c>
      <c r="Z394" s="20" t="str">
        <f>IF(OR(J394="Krankenstand",J394="Urlaub"),"",IF(J394="","",VLOOKUP(D394,Dienste!C:W,15,)))</f>
        <v/>
      </c>
      <c r="AA394" s="124" t="str">
        <f t="shared" ref="AA394:AA422" si="192">IF(OR(Y394="",NOT(AB394="")),"",IF(AND(Y394&lt;AE395,AE395&gt;0),Y394,IF(AE395&gt;0,AE395,"")))</f>
        <v/>
      </c>
      <c r="AB394" s="19" t="str">
        <f t="shared" ref="AB394:AB424" si="193">IF(I394="","",Y394)</f>
        <v/>
      </c>
      <c r="AC394" s="126" t="str">
        <f>_xlfn.CONCAT(_xlfn.CONCAT(IF(I394="","",_xlfn.CONCAT("FT: ",I394,IF(J394="","","; "))),IF(B394&lt;Datenblatt!$B$9,"",IF(B394="","",IF(NOT(J394=""),SUBSTITUTE(SUBSTITUTE(SUBSTITUTE(J394," mR","")," oR","")," O",""),"")))),IF(AF394="","",_xlfn.CONCAT(CHAR(10),"; ",AF394)))</f>
        <v>FT: Allerheiligen</v>
      </c>
      <c r="AD394" s="124">
        <f>IF(SUM(Y394,R394,M394,L394)&lt;=0,"",SUM(Y394,R394,M394,L394))</f>
        <v>6.67</v>
      </c>
      <c r="AE394" s="19">
        <f t="shared" ref="AE394:AE423" si="194">IF(OR(Y394="",NOT(AB394="")),AE395,AE395-Y394)</f>
        <v>0</v>
      </c>
      <c r="AF394" s="156"/>
    </row>
    <row r="395" spans="1:32" s="9" customFormat="1" ht="13">
      <c r="B395" s="6">
        <f t="shared" ref="B395:B421" si="195">B394+1</f>
        <v>44867</v>
      </c>
      <c r="C395" s="45">
        <f>SMALL(Daten!W:W,COUNTIF(Daten!W:W,"&lt;"&amp;Stundenaufzeichnung!B395+1))</f>
        <v>44578</v>
      </c>
      <c r="D395" s="45" t="str">
        <f t="shared" si="190"/>
        <v/>
      </c>
      <c r="E395" s="8">
        <f t="shared" si="191"/>
        <v>5</v>
      </c>
      <c r="F395" s="8">
        <f t="shared" ref="F395:F421" si="196">MOD(E395+$F$3,7)+1</f>
        <v>3</v>
      </c>
      <c r="G395" s="8">
        <f>IF(B395="","",VLOOKUP(E395,Datenblatt!$L$2:$N$8,3,FALSE))</f>
        <v>0</v>
      </c>
      <c r="H395" s="8" t="str">
        <f t="shared" ref="H395:H424" si="197">IF(OR(G395=1),"x",IF(I395="","","x"))</f>
        <v/>
      </c>
      <c r="I395" s="11" t="str">
        <f>IFERROR(VLOOKUP(B395,Datenblatt!$E:$F,2,FALSE),"")</f>
        <v/>
      </c>
      <c r="J395" s="113"/>
      <c r="K395" s="19">
        <f>IF(B395&lt;Datenblatt!$B$9,"",IF(B395="","",IF(G395=0,Datenblatt!$B$7,"")))</f>
        <v>6.67</v>
      </c>
      <c r="L395" s="19" t="str">
        <f t="shared" ref="L395:L424" si="198">IF(AND(J395="Krankenstand",R395=""),K395,"")</f>
        <v/>
      </c>
      <c r="M395" s="124" t="str">
        <f t="shared" ref="M395:M424" si="199">IF(AND(J395="Urlaub",R395=""),K395,"")</f>
        <v/>
      </c>
      <c r="N395" s="124" t="str">
        <f>IF(AND(L395=Datenblatt!$B$7,NOT(L394=Datenblatt!$B$7),NOT(L396=Datenblatt!$B$7)),"y",IF(AND(L395=Datenblatt!$B$7,L396=Datenblatt!$B$7,NOT(L394=Datenblatt!$B$7)),"a",IF(AND(L395=Datenblatt!$B$7,L394=Datenblatt!$B$7,NOT(L396=Datenblatt!$B$7)),"b","")))</f>
        <v/>
      </c>
      <c r="O395" s="19" t="str">
        <f t="shared" ref="O395:O424" si="200">IF(N395="a",TEXT(B395,"TT.MM.")&amp;" - ",IF(OR(N395="b",N395="y"),TEXT(B395,"TT.MM.")&amp;"; ",""))</f>
        <v/>
      </c>
      <c r="P395" s="124" t="str">
        <f>IF(AND(M395=Datenblatt!$B$7,NOT(M394=Datenblatt!$B$7),NOT(M396=Datenblatt!$B$7)),"y",IF(AND(M395=Datenblatt!$B$7,M396=Datenblatt!$B$7,NOT(M394=Datenblatt!$B$7)),"a",IF(AND(M395=Datenblatt!$B$7,M394=Datenblatt!$B$7,NOT(M396=Datenblatt!$B$7)),"b","")))</f>
        <v/>
      </c>
      <c r="Q395" s="19" t="str">
        <f t="shared" ref="Q395:Q424" si="201">IF(P395="a",TEXT(B395,"TT.MM.")&amp;" - ",IF(OR(P395="b",P395="y"),TEXT(B395,"TT.MM.")&amp;"; ",""))</f>
        <v/>
      </c>
      <c r="R395" s="124" t="str">
        <f>IF(I395="","",IF(AND(OR(J395="Krankenstand",J395="Urlaub",J395=""), AND(G395=0,NOT(I395=""))),Datenblatt!$B$7,""))</f>
        <v/>
      </c>
      <c r="S395" s="19" t="str">
        <f>IF(OR(J395="Krankenstand",J395="Urlaub"),"",IF(J395="","",VLOOKUP(D395,Dienste!C:W,21,)))</f>
        <v/>
      </c>
      <c r="T395" s="18" t="str">
        <f>IF(OR(J395="Krankenstand",J395="Urlaub"),"",IF(J395="","",VLOOKUP(D395,Dienste!C:W,5,)))</f>
        <v/>
      </c>
      <c r="U395" s="18" t="str">
        <f>IF(OR(J395="Krankenstand",J395="Urlaub"),"",IF(J395="","",VLOOKUP(D395,Dienste!C:W,6,)))</f>
        <v/>
      </c>
      <c r="V395" s="18" t="str">
        <f>IF(OR(J395="Krankenstand",J395="Urlaub"),"",IF(J395="","",VLOOKUP(D395,Dienste!C:W,7,)))</f>
        <v/>
      </c>
      <c r="W395" s="18" t="str">
        <f>IF(OR(J395="Krankenstand",J395="Urlaub"),"",IF(J395="","",VLOOKUP(D395,Dienste!C:W,11,)))</f>
        <v/>
      </c>
      <c r="X395" s="18" t="str">
        <f>IF(OR(J395="Krankenstand",J395="Urlaub"),"",IF(J395="","",VLOOKUP(D395,Dienste!C:W,12,)))</f>
        <v/>
      </c>
      <c r="Y395" s="19" t="str">
        <f>IF(OR(J395="Krankenstand",J395="Urlaub"),"",IF(J395="","",VLOOKUP(D395,Dienste!C:W,14,)))</f>
        <v/>
      </c>
      <c r="Z395" s="20" t="str">
        <f>IF(OR(J395="Krankenstand",J395="Urlaub"),"",IF(J395="","",VLOOKUP(D395,Dienste!C:W,15,)))</f>
        <v/>
      </c>
      <c r="AA395" s="124" t="str">
        <f t="shared" si="192"/>
        <v/>
      </c>
      <c r="AB395" s="19" t="str">
        <f t="shared" si="193"/>
        <v/>
      </c>
      <c r="AC395" s="126" t="str">
        <f>_xlfn.CONCAT(_xlfn.CONCAT(IF(I395="","",_xlfn.CONCAT("FT: ",I395,IF(J395="","","; "))),IF(B395&lt;Datenblatt!$B$9,"",IF(B395="","",IF(NOT(J395=""),SUBSTITUTE(SUBSTITUTE(SUBSTITUTE(J395," mR","")," oR","")," O",""),"")))),IF(AF395="","",_xlfn.CONCAT(CHAR(10),"; ",AF395)))</f>
        <v/>
      </c>
      <c r="AD395" s="124" t="str">
        <f t="shared" ref="AD395:AD424" si="202">IF(SUM(Y395,R395,M395,L395)&lt;=0,"",SUM(Y395,R395,M395,L395))</f>
        <v/>
      </c>
      <c r="AE395" s="19">
        <f t="shared" si="194"/>
        <v>0</v>
      </c>
      <c r="AF395" s="156"/>
    </row>
    <row r="396" spans="1:32" s="9" customFormat="1" ht="13">
      <c r="B396" s="6">
        <f t="shared" si="195"/>
        <v>44868</v>
      </c>
      <c r="C396" s="45">
        <f>SMALL(Daten!W:W,COUNTIF(Daten!W:W,"&lt;"&amp;Stundenaufzeichnung!B396+1))</f>
        <v>44578</v>
      </c>
      <c r="D396" s="45" t="str">
        <f t="shared" si="190"/>
        <v/>
      </c>
      <c r="E396" s="8">
        <f t="shared" si="191"/>
        <v>6</v>
      </c>
      <c r="F396" s="8">
        <f t="shared" si="196"/>
        <v>4</v>
      </c>
      <c r="G396" s="8">
        <f>IF(B396="","",VLOOKUP(E396,Datenblatt!$L$2:$N$8,3,FALSE))</f>
        <v>0</v>
      </c>
      <c r="H396" s="8" t="str">
        <f t="shared" si="197"/>
        <v/>
      </c>
      <c r="I396" s="11" t="str">
        <f>IFERROR(VLOOKUP(B396,Datenblatt!$E:$F,2,FALSE),"")</f>
        <v/>
      </c>
      <c r="J396" s="113"/>
      <c r="K396" s="19">
        <f>IF(B396&lt;Datenblatt!$B$9,"",IF(B396="","",IF(G396=0,Datenblatt!$B$7,"")))</f>
        <v>6.67</v>
      </c>
      <c r="L396" s="19" t="str">
        <f t="shared" si="198"/>
        <v/>
      </c>
      <c r="M396" s="124" t="str">
        <f t="shared" si="199"/>
        <v/>
      </c>
      <c r="N396" s="124" t="str">
        <f>IF(AND(L396=Datenblatt!$B$7,NOT(L395=Datenblatt!$B$7),NOT(L397=Datenblatt!$B$7)),"y",IF(AND(L396=Datenblatt!$B$7,L397=Datenblatt!$B$7,NOT(L395=Datenblatt!$B$7)),"a",IF(AND(L396=Datenblatt!$B$7,L395=Datenblatt!$B$7,NOT(L397=Datenblatt!$B$7)),"b","")))</f>
        <v/>
      </c>
      <c r="O396" s="19" t="str">
        <f t="shared" si="200"/>
        <v/>
      </c>
      <c r="P396" s="124" t="str">
        <f>IF(AND(M396=Datenblatt!$B$7,NOT(M395=Datenblatt!$B$7),NOT(M397=Datenblatt!$B$7)),"y",IF(AND(M396=Datenblatt!$B$7,M397=Datenblatt!$B$7,NOT(M395=Datenblatt!$B$7)),"a",IF(AND(M396=Datenblatt!$B$7,M395=Datenblatt!$B$7,NOT(M397=Datenblatt!$B$7)),"b","")))</f>
        <v/>
      </c>
      <c r="Q396" s="19" t="str">
        <f t="shared" si="201"/>
        <v/>
      </c>
      <c r="R396" s="124" t="str">
        <f>IF(I396="","",IF(AND(OR(J396="Krankenstand",J396="Urlaub",J396=""), AND(G396=0,NOT(I396=""))),Datenblatt!$B$7,""))</f>
        <v/>
      </c>
      <c r="S396" s="19" t="str">
        <f>IF(OR(J396="Krankenstand",J396="Urlaub"),"",IF(J396="","",VLOOKUP(D396,Dienste!C:W,21,)))</f>
        <v/>
      </c>
      <c r="T396" s="18" t="str">
        <f>IF(OR(J396="Krankenstand",J396="Urlaub"),"",IF(J396="","",VLOOKUP(D396,Dienste!C:W,5,)))</f>
        <v/>
      </c>
      <c r="U396" s="18" t="str">
        <f>IF(OR(J396="Krankenstand",J396="Urlaub"),"",IF(J396="","",VLOOKUP(D396,Dienste!C:W,6,)))</f>
        <v/>
      </c>
      <c r="V396" s="18" t="str">
        <f>IF(OR(J396="Krankenstand",J396="Urlaub"),"",IF(J396="","",VLOOKUP(D396,Dienste!C:W,7,)))</f>
        <v/>
      </c>
      <c r="W396" s="18" t="str">
        <f>IF(OR(J396="Krankenstand",J396="Urlaub"),"",IF(J396="","",VLOOKUP(D396,Dienste!C:W,11,)))</f>
        <v/>
      </c>
      <c r="X396" s="18" t="str">
        <f>IF(OR(J396="Krankenstand",J396="Urlaub"),"",IF(J396="","",VLOOKUP(D396,Dienste!C:W,12,)))</f>
        <v/>
      </c>
      <c r="Y396" s="19" t="str">
        <f>IF(OR(J396="Krankenstand",J396="Urlaub"),"",IF(J396="","",VLOOKUP(D396,Dienste!C:W,14,)))</f>
        <v/>
      </c>
      <c r="Z396" s="20" t="str">
        <f>IF(OR(J396="Krankenstand",J396="Urlaub"),"",IF(J396="","",VLOOKUP(D396,Dienste!C:W,15,)))</f>
        <v/>
      </c>
      <c r="AA396" s="124" t="str">
        <f t="shared" si="192"/>
        <v/>
      </c>
      <c r="AB396" s="19" t="str">
        <f t="shared" si="193"/>
        <v/>
      </c>
      <c r="AC396" s="126" t="str">
        <f>_xlfn.CONCAT(_xlfn.CONCAT(IF(I396="","",_xlfn.CONCAT("FT: ",I396,IF(J396="","","; "))),IF(B396&lt;Datenblatt!$B$9,"",IF(B396="","",IF(NOT(J396=""),SUBSTITUTE(SUBSTITUTE(SUBSTITUTE(J396," mR","")," oR","")," O",""),"")))),IF(AF396="","",_xlfn.CONCAT(CHAR(10),"; ",AF396)))</f>
        <v/>
      </c>
      <c r="AD396" s="124" t="str">
        <f t="shared" si="202"/>
        <v/>
      </c>
      <c r="AE396" s="19">
        <f t="shared" si="194"/>
        <v>0</v>
      </c>
      <c r="AF396" s="156"/>
    </row>
    <row r="397" spans="1:32" s="9" customFormat="1" ht="13">
      <c r="B397" s="6">
        <f t="shared" si="195"/>
        <v>44869</v>
      </c>
      <c r="C397" s="45">
        <f>SMALL(Daten!W:W,COUNTIF(Daten!W:W,"&lt;"&amp;Stundenaufzeichnung!B397+1))</f>
        <v>44578</v>
      </c>
      <c r="D397" s="45" t="str">
        <f t="shared" si="190"/>
        <v/>
      </c>
      <c r="E397" s="8">
        <f t="shared" si="191"/>
        <v>7</v>
      </c>
      <c r="F397" s="8">
        <f t="shared" si="196"/>
        <v>5</v>
      </c>
      <c r="G397" s="8">
        <f>IF(B397="","",VLOOKUP(E397,Datenblatt!$L$2:$N$8,3,FALSE))</f>
        <v>0</v>
      </c>
      <c r="H397" s="8" t="str">
        <f t="shared" si="197"/>
        <v/>
      </c>
      <c r="I397" s="11" t="str">
        <f>IFERROR(VLOOKUP(B397,Datenblatt!$E:$F,2,FALSE),"")</f>
        <v/>
      </c>
      <c r="J397" s="113"/>
      <c r="K397" s="19">
        <f>IF(B397&lt;Datenblatt!$B$9,"",IF(B397="","",IF(G397=0,Datenblatt!$B$7,"")))</f>
        <v>6.67</v>
      </c>
      <c r="L397" s="19" t="str">
        <f t="shared" si="198"/>
        <v/>
      </c>
      <c r="M397" s="124" t="str">
        <f t="shared" si="199"/>
        <v/>
      </c>
      <c r="N397" s="124" t="str">
        <f>IF(AND(L397=Datenblatt!$B$7,NOT(L396=Datenblatt!$B$7),NOT(L398=Datenblatt!$B$7)),"y",IF(AND(L397=Datenblatt!$B$7,L398=Datenblatt!$B$7,NOT(L396=Datenblatt!$B$7)),"a",IF(AND(L397=Datenblatt!$B$7,L396=Datenblatt!$B$7,NOT(L398=Datenblatt!$B$7)),"b","")))</f>
        <v/>
      </c>
      <c r="O397" s="19" t="str">
        <f t="shared" si="200"/>
        <v/>
      </c>
      <c r="P397" s="124" t="str">
        <f>IF(AND(M397=Datenblatt!$B$7,NOT(M396=Datenblatt!$B$7),NOT(M398=Datenblatt!$B$7)),"y",IF(AND(M397=Datenblatt!$B$7,M398=Datenblatt!$B$7,NOT(M396=Datenblatt!$B$7)),"a",IF(AND(M397=Datenblatt!$B$7,M396=Datenblatt!$B$7,NOT(M398=Datenblatt!$B$7)),"b","")))</f>
        <v/>
      </c>
      <c r="Q397" s="19" t="str">
        <f t="shared" si="201"/>
        <v/>
      </c>
      <c r="R397" s="124" t="str">
        <f>IF(I397="","",IF(AND(OR(J397="Krankenstand",J397="Urlaub",J397=""), AND(G397=0,NOT(I397=""))),Datenblatt!$B$7,""))</f>
        <v/>
      </c>
      <c r="S397" s="19" t="str">
        <f>IF(OR(J397="Krankenstand",J397="Urlaub"),"",IF(J397="","",VLOOKUP(D397,Dienste!C:W,21,)))</f>
        <v/>
      </c>
      <c r="T397" s="18" t="str">
        <f>IF(OR(J397="Krankenstand",J397="Urlaub"),"",IF(J397="","",VLOOKUP(D397,Dienste!C:W,5,)))</f>
        <v/>
      </c>
      <c r="U397" s="18" t="str">
        <f>IF(OR(J397="Krankenstand",J397="Urlaub"),"",IF(J397="","",VLOOKUP(D397,Dienste!C:W,6,)))</f>
        <v/>
      </c>
      <c r="V397" s="18" t="str">
        <f>IF(OR(J397="Krankenstand",J397="Urlaub"),"",IF(J397="","",VLOOKUP(D397,Dienste!C:W,7,)))</f>
        <v/>
      </c>
      <c r="W397" s="18" t="str">
        <f>IF(OR(J397="Krankenstand",J397="Urlaub"),"",IF(J397="","",VLOOKUP(D397,Dienste!C:W,11,)))</f>
        <v/>
      </c>
      <c r="X397" s="18" t="str">
        <f>IF(OR(J397="Krankenstand",J397="Urlaub"),"",IF(J397="","",VLOOKUP(D397,Dienste!C:W,12,)))</f>
        <v/>
      </c>
      <c r="Y397" s="19" t="str">
        <f>IF(OR(J397="Krankenstand",J397="Urlaub"),"",IF(J397="","",VLOOKUP(D397,Dienste!C:W,14,)))</f>
        <v/>
      </c>
      <c r="Z397" s="20" t="str">
        <f>IF(OR(J397="Krankenstand",J397="Urlaub"),"",IF(J397="","",VLOOKUP(D397,Dienste!C:W,15,)))</f>
        <v/>
      </c>
      <c r="AA397" s="124" t="str">
        <f t="shared" si="192"/>
        <v/>
      </c>
      <c r="AB397" s="19" t="str">
        <f t="shared" si="193"/>
        <v/>
      </c>
      <c r="AC397" s="126" t="str">
        <f>_xlfn.CONCAT(_xlfn.CONCAT(IF(I397="","",_xlfn.CONCAT("FT: ",I397,IF(J397="","","; "))),IF(B397&lt;Datenblatt!$B$9,"",IF(B397="","",IF(NOT(J397=""),SUBSTITUTE(SUBSTITUTE(SUBSTITUTE(J397," mR","")," oR","")," O",""),"")))),IF(AF397="","",_xlfn.CONCAT(CHAR(10),"; ",AF397)))</f>
        <v/>
      </c>
      <c r="AD397" s="124" t="str">
        <f t="shared" si="202"/>
        <v/>
      </c>
      <c r="AE397" s="19">
        <f t="shared" si="194"/>
        <v>0</v>
      </c>
      <c r="AF397" s="156"/>
    </row>
    <row r="398" spans="1:32" s="9" customFormat="1" ht="13">
      <c r="B398" s="6">
        <f t="shared" si="195"/>
        <v>44870</v>
      </c>
      <c r="C398" s="45">
        <f>SMALL(Daten!W:W,COUNTIF(Daten!W:W,"&lt;"&amp;Stundenaufzeichnung!B398+1))</f>
        <v>44578</v>
      </c>
      <c r="D398" s="45" t="str">
        <f t="shared" si="190"/>
        <v/>
      </c>
      <c r="E398" s="8">
        <f t="shared" si="191"/>
        <v>1</v>
      </c>
      <c r="F398" s="8">
        <f t="shared" si="196"/>
        <v>6</v>
      </c>
      <c r="G398" s="8">
        <f>IF(B398="","",VLOOKUP(E398,Datenblatt!$L$2:$N$8,3,FALSE))</f>
        <v>0</v>
      </c>
      <c r="H398" s="8" t="str">
        <f t="shared" si="197"/>
        <v/>
      </c>
      <c r="I398" s="11" t="str">
        <f>IFERROR(VLOOKUP(B398,Datenblatt!$E:$F,2,FALSE),"")</f>
        <v/>
      </c>
      <c r="J398" s="113"/>
      <c r="K398" s="19">
        <f>IF(B398&lt;Datenblatt!$B$9,"",IF(B398="","",IF(G398=0,Datenblatt!$B$7,"")))</f>
        <v>6.67</v>
      </c>
      <c r="L398" s="19" t="str">
        <f t="shared" si="198"/>
        <v/>
      </c>
      <c r="M398" s="124" t="str">
        <f t="shared" si="199"/>
        <v/>
      </c>
      <c r="N398" s="124" t="str">
        <f>IF(AND(L398=Datenblatt!$B$7,NOT(L397=Datenblatt!$B$7),NOT(L399=Datenblatt!$B$7)),"y",IF(AND(L398=Datenblatt!$B$7,L399=Datenblatt!$B$7,NOT(L397=Datenblatt!$B$7)),"a",IF(AND(L398=Datenblatt!$B$7,L397=Datenblatt!$B$7,NOT(L399=Datenblatt!$B$7)),"b","")))</f>
        <v/>
      </c>
      <c r="O398" s="19" t="str">
        <f t="shared" si="200"/>
        <v/>
      </c>
      <c r="P398" s="124" t="str">
        <f>IF(AND(M398=Datenblatt!$B$7,NOT(M397=Datenblatt!$B$7),NOT(M399=Datenblatt!$B$7)),"y",IF(AND(M398=Datenblatt!$B$7,M399=Datenblatt!$B$7,NOT(M397=Datenblatt!$B$7)),"a",IF(AND(M398=Datenblatt!$B$7,M397=Datenblatt!$B$7,NOT(M399=Datenblatt!$B$7)),"b","")))</f>
        <v/>
      </c>
      <c r="Q398" s="19" t="str">
        <f t="shared" si="201"/>
        <v/>
      </c>
      <c r="R398" s="124" t="str">
        <f>IF(I398="","",IF(AND(OR(J398="Krankenstand",J398="Urlaub",J398=""), AND(G398=0,NOT(I398=""))),Datenblatt!$B$7,""))</f>
        <v/>
      </c>
      <c r="S398" s="19" t="str">
        <f>IF(OR(J398="Krankenstand",J398="Urlaub"),"",IF(J398="","",VLOOKUP(D398,Dienste!C:W,21,)))</f>
        <v/>
      </c>
      <c r="T398" s="18" t="str">
        <f>IF(OR(J398="Krankenstand",J398="Urlaub"),"",IF(J398="","",VLOOKUP(D398,Dienste!C:W,5,)))</f>
        <v/>
      </c>
      <c r="U398" s="18" t="str">
        <f>IF(OR(J398="Krankenstand",J398="Urlaub"),"",IF(J398="","",VLOOKUP(D398,Dienste!C:W,6,)))</f>
        <v/>
      </c>
      <c r="V398" s="18" t="str">
        <f>IF(OR(J398="Krankenstand",J398="Urlaub"),"",IF(J398="","",VLOOKUP(D398,Dienste!C:W,7,)))</f>
        <v/>
      </c>
      <c r="W398" s="18" t="str">
        <f>IF(OR(J398="Krankenstand",J398="Urlaub"),"",IF(J398="","",VLOOKUP(D398,Dienste!C:W,11,)))</f>
        <v/>
      </c>
      <c r="X398" s="18" t="str">
        <f>IF(OR(J398="Krankenstand",J398="Urlaub"),"",IF(J398="","",VLOOKUP(D398,Dienste!C:W,12,)))</f>
        <v/>
      </c>
      <c r="Y398" s="19" t="str">
        <f>IF(OR(J398="Krankenstand",J398="Urlaub"),"",IF(J398="","",VLOOKUP(D398,Dienste!C:W,14,)))</f>
        <v/>
      </c>
      <c r="Z398" s="20" t="str">
        <f>IF(OR(J398="Krankenstand",J398="Urlaub"),"",IF(J398="","",VLOOKUP(D398,Dienste!C:W,15,)))</f>
        <v/>
      </c>
      <c r="AA398" s="124" t="str">
        <f t="shared" si="192"/>
        <v/>
      </c>
      <c r="AB398" s="19" t="str">
        <f t="shared" si="193"/>
        <v/>
      </c>
      <c r="AC398" s="126" t="str">
        <f>_xlfn.CONCAT(_xlfn.CONCAT(IF(I398="","",_xlfn.CONCAT("FT: ",I398,IF(J398="","","; "))),IF(B398&lt;Datenblatt!$B$9,"",IF(B398="","",IF(NOT(J398=""),SUBSTITUTE(SUBSTITUTE(SUBSTITUTE(J398," mR","")," oR","")," O",""),"")))),IF(AF398="","",_xlfn.CONCAT(CHAR(10),"; ",AF398)))</f>
        <v/>
      </c>
      <c r="AD398" s="124" t="str">
        <f t="shared" si="202"/>
        <v/>
      </c>
      <c r="AE398" s="19">
        <f t="shared" si="194"/>
        <v>0</v>
      </c>
      <c r="AF398" s="156"/>
    </row>
    <row r="399" spans="1:32" s="9" customFormat="1" ht="13">
      <c r="B399" s="6">
        <f t="shared" si="195"/>
        <v>44871</v>
      </c>
      <c r="C399" s="45">
        <f>SMALL(Daten!W:W,COUNTIF(Daten!W:W,"&lt;"&amp;Stundenaufzeichnung!B399+1))</f>
        <v>44578</v>
      </c>
      <c r="D399" s="45" t="str">
        <f t="shared" si="190"/>
        <v/>
      </c>
      <c r="E399" s="8">
        <f t="shared" si="191"/>
        <v>2</v>
      </c>
      <c r="F399" s="8">
        <f t="shared" si="196"/>
        <v>7</v>
      </c>
      <c r="G399" s="8">
        <f>IF(B399="","",VLOOKUP(E399,Datenblatt!$L$2:$N$8,3,FALSE))</f>
        <v>1</v>
      </c>
      <c r="H399" s="8" t="str">
        <f t="shared" si="197"/>
        <v>x</v>
      </c>
      <c r="I399" s="11" t="str">
        <f>IFERROR(VLOOKUP(B399,Datenblatt!$E:$F,2,FALSE),"")</f>
        <v/>
      </c>
      <c r="J399" s="113"/>
      <c r="K399" s="19" t="str">
        <f>IF(B399&lt;Datenblatt!$B$9,"",IF(B399="","",IF(G399=0,Datenblatt!$B$7,"")))</f>
        <v/>
      </c>
      <c r="L399" s="19" t="str">
        <f t="shared" si="198"/>
        <v/>
      </c>
      <c r="M399" s="124" t="str">
        <f t="shared" si="199"/>
        <v/>
      </c>
      <c r="N399" s="124" t="str">
        <f>IF(AND(L399=Datenblatt!$B$7,NOT(L398=Datenblatt!$B$7),NOT(L400=Datenblatt!$B$7)),"y",IF(AND(L399=Datenblatt!$B$7,L400=Datenblatt!$B$7,NOT(L398=Datenblatt!$B$7)),"a",IF(AND(L399=Datenblatt!$B$7,L398=Datenblatt!$B$7,NOT(L400=Datenblatt!$B$7)),"b","")))</f>
        <v/>
      </c>
      <c r="O399" s="19" t="str">
        <f t="shared" si="200"/>
        <v/>
      </c>
      <c r="P399" s="124" t="str">
        <f>IF(AND(M399=Datenblatt!$B$7,NOT(M398=Datenblatt!$B$7),NOT(M400=Datenblatt!$B$7)),"y",IF(AND(M399=Datenblatt!$B$7,M400=Datenblatt!$B$7,NOT(M398=Datenblatt!$B$7)),"a",IF(AND(M399=Datenblatt!$B$7,M398=Datenblatt!$B$7,NOT(M400=Datenblatt!$B$7)),"b","")))</f>
        <v/>
      </c>
      <c r="Q399" s="19" t="str">
        <f t="shared" si="201"/>
        <v/>
      </c>
      <c r="R399" s="124" t="str">
        <f>IF(I399="","",IF(AND(OR(J399="Krankenstand",J399="Urlaub",J399=""), AND(G399=0,NOT(I399=""))),Datenblatt!$B$7,""))</f>
        <v/>
      </c>
      <c r="S399" s="19" t="str">
        <f>IF(OR(J399="Krankenstand",J399="Urlaub"),"",IF(J399="","",VLOOKUP(D399,Dienste!C:W,21,)))</f>
        <v/>
      </c>
      <c r="T399" s="18" t="str">
        <f>IF(OR(J399="Krankenstand",J399="Urlaub"),"",IF(J399="","",VLOOKUP(D399,Dienste!C:W,5,)))</f>
        <v/>
      </c>
      <c r="U399" s="18" t="str">
        <f>IF(OR(J399="Krankenstand",J399="Urlaub"),"",IF(J399="","",VLOOKUP(D399,Dienste!C:W,6,)))</f>
        <v/>
      </c>
      <c r="V399" s="18" t="str">
        <f>IF(OR(J399="Krankenstand",J399="Urlaub"),"",IF(J399="","",VLOOKUP(D399,Dienste!C:W,7,)))</f>
        <v/>
      </c>
      <c r="W399" s="18" t="str">
        <f>IF(OR(J399="Krankenstand",J399="Urlaub"),"",IF(J399="","",VLOOKUP(D399,Dienste!C:W,11,)))</f>
        <v/>
      </c>
      <c r="X399" s="18" t="str">
        <f>IF(OR(J399="Krankenstand",J399="Urlaub"),"",IF(J399="","",VLOOKUP(D399,Dienste!C:W,12,)))</f>
        <v/>
      </c>
      <c r="Y399" s="19" t="str">
        <f>IF(OR(J399="Krankenstand",J399="Urlaub"),"",IF(J399="","",VLOOKUP(D399,Dienste!C:W,14,)))</f>
        <v/>
      </c>
      <c r="Z399" s="20" t="str">
        <f>IF(OR(J399="Krankenstand",J399="Urlaub"),"",IF(J399="","",VLOOKUP(D399,Dienste!C:W,15,)))</f>
        <v/>
      </c>
      <c r="AA399" s="124" t="str">
        <f t="shared" si="192"/>
        <v/>
      </c>
      <c r="AB399" s="19" t="str">
        <f t="shared" si="193"/>
        <v/>
      </c>
      <c r="AC399" s="126" t="str">
        <f>_xlfn.CONCAT(_xlfn.CONCAT(IF(I399="","",_xlfn.CONCAT("FT: ",I399,IF(J399="","","; "))),IF(B399&lt;Datenblatt!$B$9,"",IF(B399="","",IF(NOT(J399=""),SUBSTITUTE(SUBSTITUTE(SUBSTITUTE(J399," mR","")," oR","")," O",""),"")))),IF(AF399="","",_xlfn.CONCAT(CHAR(10),"; ",AF399)))</f>
        <v/>
      </c>
      <c r="AD399" s="124" t="str">
        <f t="shared" si="202"/>
        <v/>
      </c>
      <c r="AE399" s="19">
        <f t="shared" si="194"/>
        <v>0</v>
      </c>
      <c r="AF399" s="156"/>
    </row>
    <row r="400" spans="1:32" s="9" customFormat="1" ht="13">
      <c r="B400" s="6">
        <f t="shared" si="195"/>
        <v>44872</v>
      </c>
      <c r="C400" s="45">
        <f>SMALL(Daten!W:W,COUNTIF(Daten!W:W,"&lt;"&amp;Stundenaufzeichnung!B400+1))</f>
        <v>44578</v>
      </c>
      <c r="D400" s="45" t="str">
        <f t="shared" si="190"/>
        <v/>
      </c>
      <c r="E400" s="8">
        <f t="shared" si="191"/>
        <v>3</v>
      </c>
      <c r="F400" s="8">
        <f t="shared" si="196"/>
        <v>1</v>
      </c>
      <c r="G400" s="8">
        <f>IF(B400="","",VLOOKUP(E400,Datenblatt!$L$2:$N$8,3,FALSE))</f>
        <v>0</v>
      </c>
      <c r="H400" s="8" t="str">
        <f t="shared" si="197"/>
        <v/>
      </c>
      <c r="I400" s="11" t="str">
        <f>IFERROR(VLOOKUP(B400,Datenblatt!$E:$F,2,FALSE),"")</f>
        <v/>
      </c>
      <c r="J400" s="113"/>
      <c r="K400" s="19">
        <f>IF(B400&lt;Datenblatt!$B$9,"",IF(B400="","",IF(G400=0,Datenblatt!$B$7,"")))</f>
        <v>6.67</v>
      </c>
      <c r="L400" s="19" t="str">
        <f t="shared" si="198"/>
        <v/>
      </c>
      <c r="M400" s="124" t="str">
        <f t="shared" si="199"/>
        <v/>
      </c>
      <c r="N400" s="124" t="str">
        <f>IF(AND(L400=Datenblatt!$B$7,NOT(L399=Datenblatt!$B$7),NOT(L401=Datenblatt!$B$7)),"y",IF(AND(L400=Datenblatt!$B$7,L401=Datenblatt!$B$7,NOT(L399=Datenblatt!$B$7)),"a",IF(AND(L400=Datenblatt!$B$7,L399=Datenblatt!$B$7,NOT(L401=Datenblatt!$B$7)),"b","")))</f>
        <v/>
      </c>
      <c r="O400" s="19" t="str">
        <f t="shared" si="200"/>
        <v/>
      </c>
      <c r="P400" s="124" t="str">
        <f>IF(AND(M400=Datenblatt!$B$7,NOT(M399=Datenblatt!$B$7),NOT(M401=Datenblatt!$B$7)),"y",IF(AND(M400=Datenblatt!$B$7,M401=Datenblatt!$B$7,NOT(M399=Datenblatt!$B$7)),"a",IF(AND(M400=Datenblatt!$B$7,M399=Datenblatt!$B$7,NOT(M401=Datenblatt!$B$7)),"b","")))</f>
        <v/>
      </c>
      <c r="Q400" s="19" t="str">
        <f t="shared" si="201"/>
        <v/>
      </c>
      <c r="R400" s="124" t="str">
        <f>IF(I400="","",IF(AND(OR(J400="Krankenstand",J400="Urlaub",J400=""), AND(G400=0,NOT(I400=""))),Datenblatt!$B$7,""))</f>
        <v/>
      </c>
      <c r="S400" s="19" t="str">
        <f>IF(OR(J400="Krankenstand",J400="Urlaub"),"",IF(J400="","",VLOOKUP(D400,Dienste!C:W,21,)))</f>
        <v/>
      </c>
      <c r="T400" s="18" t="str">
        <f>IF(OR(J400="Krankenstand",J400="Urlaub"),"",IF(J400="","",VLOOKUP(D400,Dienste!C:W,5,)))</f>
        <v/>
      </c>
      <c r="U400" s="18" t="str">
        <f>IF(OR(J400="Krankenstand",J400="Urlaub"),"",IF(J400="","",VLOOKUP(D400,Dienste!C:W,6,)))</f>
        <v/>
      </c>
      <c r="V400" s="18" t="str">
        <f>IF(OR(J400="Krankenstand",J400="Urlaub"),"",IF(J400="","",VLOOKUP(D400,Dienste!C:W,7,)))</f>
        <v/>
      </c>
      <c r="W400" s="18" t="str">
        <f>IF(OR(J400="Krankenstand",J400="Urlaub"),"",IF(J400="","",VLOOKUP(D400,Dienste!C:W,11,)))</f>
        <v/>
      </c>
      <c r="X400" s="18" t="str">
        <f>IF(OR(J400="Krankenstand",J400="Urlaub"),"",IF(J400="","",VLOOKUP(D400,Dienste!C:W,12,)))</f>
        <v/>
      </c>
      <c r="Y400" s="19" t="str">
        <f>IF(OR(J400="Krankenstand",J400="Urlaub"),"",IF(J400="","",VLOOKUP(D400,Dienste!C:W,14,)))</f>
        <v/>
      </c>
      <c r="Z400" s="20" t="str">
        <f>IF(OR(J400="Krankenstand",J400="Urlaub"),"",IF(J400="","",VLOOKUP(D400,Dienste!C:W,15,)))</f>
        <v/>
      </c>
      <c r="AA400" s="124" t="str">
        <f t="shared" si="192"/>
        <v/>
      </c>
      <c r="AB400" s="19" t="str">
        <f t="shared" si="193"/>
        <v/>
      </c>
      <c r="AC400" s="126" t="str">
        <f>_xlfn.CONCAT(_xlfn.CONCAT(IF(I400="","",_xlfn.CONCAT("FT: ",I400,IF(J400="","","; "))),IF(B400&lt;Datenblatt!$B$9,"",IF(B400="","",IF(NOT(J400=""),SUBSTITUTE(SUBSTITUTE(SUBSTITUTE(J400," mR","")," oR","")," O",""),"")))),IF(AF400="","",_xlfn.CONCAT(CHAR(10),"; ",AF400)))</f>
        <v/>
      </c>
      <c r="AD400" s="124" t="str">
        <f t="shared" si="202"/>
        <v/>
      </c>
      <c r="AE400" s="19">
        <f t="shared" si="194"/>
        <v>0</v>
      </c>
      <c r="AF400" s="156"/>
    </row>
    <row r="401" spans="2:32" s="9" customFormat="1" ht="13">
      <c r="B401" s="6">
        <f t="shared" si="195"/>
        <v>44873</v>
      </c>
      <c r="C401" s="45">
        <f>SMALL(Daten!W:W,COUNTIF(Daten!W:W,"&lt;"&amp;Stundenaufzeichnung!B401+1))</f>
        <v>44578</v>
      </c>
      <c r="D401" s="45" t="str">
        <f t="shared" si="190"/>
        <v/>
      </c>
      <c r="E401" s="8">
        <f t="shared" si="191"/>
        <v>4</v>
      </c>
      <c r="F401" s="8">
        <f t="shared" si="196"/>
        <v>2</v>
      </c>
      <c r="G401" s="8">
        <f>IF(B401="","",VLOOKUP(E401,Datenblatt!$L$2:$N$8,3,FALSE))</f>
        <v>0</v>
      </c>
      <c r="H401" s="8" t="str">
        <f t="shared" si="197"/>
        <v/>
      </c>
      <c r="I401" s="11" t="str">
        <f>IFERROR(VLOOKUP(B401,Datenblatt!$E:$F,2,FALSE),"")</f>
        <v/>
      </c>
      <c r="J401" s="113"/>
      <c r="K401" s="19">
        <f>IF(B401&lt;Datenblatt!$B$9,"",IF(B401="","",IF(G401=0,Datenblatt!$B$7,"")))</f>
        <v>6.67</v>
      </c>
      <c r="L401" s="19" t="str">
        <f t="shared" si="198"/>
        <v/>
      </c>
      <c r="M401" s="124" t="str">
        <f t="shared" si="199"/>
        <v/>
      </c>
      <c r="N401" s="124" t="str">
        <f>IF(AND(L401=Datenblatt!$B$7,NOT(L400=Datenblatt!$B$7),NOT(L402=Datenblatt!$B$7)),"y",IF(AND(L401=Datenblatt!$B$7,L402=Datenblatt!$B$7,NOT(L400=Datenblatt!$B$7)),"a",IF(AND(L401=Datenblatt!$B$7,L400=Datenblatt!$B$7,NOT(L402=Datenblatt!$B$7)),"b","")))</f>
        <v/>
      </c>
      <c r="O401" s="19" t="str">
        <f t="shared" si="200"/>
        <v/>
      </c>
      <c r="P401" s="124" t="str">
        <f>IF(AND(M401=Datenblatt!$B$7,NOT(M400=Datenblatt!$B$7),NOT(M402=Datenblatt!$B$7)),"y",IF(AND(M401=Datenblatt!$B$7,M402=Datenblatt!$B$7,NOT(M400=Datenblatt!$B$7)),"a",IF(AND(M401=Datenblatt!$B$7,M400=Datenblatt!$B$7,NOT(M402=Datenblatt!$B$7)),"b","")))</f>
        <v/>
      </c>
      <c r="Q401" s="19" t="str">
        <f t="shared" si="201"/>
        <v/>
      </c>
      <c r="R401" s="124" t="str">
        <f>IF(I401="","",IF(AND(OR(J401="Krankenstand",J401="Urlaub",J401=""), AND(G401=0,NOT(I401=""))),Datenblatt!$B$7,""))</f>
        <v/>
      </c>
      <c r="S401" s="19" t="str">
        <f>IF(OR(J401="Krankenstand",J401="Urlaub"),"",IF(J401="","",VLOOKUP(D401,Dienste!C:W,21,)))</f>
        <v/>
      </c>
      <c r="T401" s="18" t="str">
        <f>IF(OR(J401="Krankenstand",J401="Urlaub"),"",IF(J401="","",VLOOKUP(D401,Dienste!C:W,5,)))</f>
        <v/>
      </c>
      <c r="U401" s="18" t="str">
        <f>IF(OR(J401="Krankenstand",J401="Urlaub"),"",IF(J401="","",VLOOKUP(D401,Dienste!C:W,6,)))</f>
        <v/>
      </c>
      <c r="V401" s="18" t="str">
        <f>IF(OR(J401="Krankenstand",J401="Urlaub"),"",IF(J401="","",VLOOKUP(D401,Dienste!C:W,7,)))</f>
        <v/>
      </c>
      <c r="W401" s="18" t="str">
        <f>IF(OR(J401="Krankenstand",J401="Urlaub"),"",IF(J401="","",VLOOKUP(D401,Dienste!C:W,11,)))</f>
        <v/>
      </c>
      <c r="X401" s="18" t="str">
        <f>IF(OR(J401="Krankenstand",J401="Urlaub"),"",IF(J401="","",VLOOKUP(D401,Dienste!C:W,12,)))</f>
        <v/>
      </c>
      <c r="Y401" s="19" t="str">
        <f>IF(OR(J401="Krankenstand",J401="Urlaub"),"",IF(J401="","",VLOOKUP(D401,Dienste!C:W,14,)))</f>
        <v/>
      </c>
      <c r="Z401" s="20" t="str">
        <f>IF(OR(J401="Krankenstand",J401="Urlaub"),"",IF(J401="","",VLOOKUP(D401,Dienste!C:W,15,)))</f>
        <v/>
      </c>
      <c r="AA401" s="124" t="str">
        <f t="shared" si="192"/>
        <v/>
      </c>
      <c r="AB401" s="19" t="str">
        <f t="shared" si="193"/>
        <v/>
      </c>
      <c r="AC401" s="126" t="str">
        <f>_xlfn.CONCAT(_xlfn.CONCAT(IF(I401="","",_xlfn.CONCAT("FT: ",I401,IF(J401="","","; "))),IF(B401&lt;Datenblatt!$B$9,"",IF(B401="","",IF(NOT(J401=""),SUBSTITUTE(SUBSTITUTE(SUBSTITUTE(J401," mR","")," oR","")," O",""),"")))),IF(AF401="","",_xlfn.CONCAT(CHAR(10),"; ",AF401)))</f>
        <v/>
      </c>
      <c r="AD401" s="124" t="str">
        <f t="shared" si="202"/>
        <v/>
      </c>
      <c r="AE401" s="19">
        <f t="shared" si="194"/>
        <v>0</v>
      </c>
      <c r="AF401" s="156"/>
    </row>
    <row r="402" spans="2:32" s="9" customFormat="1" ht="13">
      <c r="B402" s="6">
        <f t="shared" si="195"/>
        <v>44874</v>
      </c>
      <c r="C402" s="45">
        <f>SMALL(Daten!W:W,COUNTIF(Daten!W:W,"&lt;"&amp;Stundenaufzeichnung!B402+1))</f>
        <v>44578</v>
      </c>
      <c r="D402" s="45" t="str">
        <f t="shared" si="190"/>
        <v/>
      </c>
      <c r="E402" s="8">
        <f t="shared" si="191"/>
        <v>5</v>
      </c>
      <c r="F402" s="8">
        <f t="shared" si="196"/>
        <v>3</v>
      </c>
      <c r="G402" s="8">
        <f>IF(B402="","",VLOOKUP(E402,Datenblatt!$L$2:$N$8,3,FALSE))</f>
        <v>0</v>
      </c>
      <c r="H402" s="8" t="str">
        <f t="shared" si="197"/>
        <v/>
      </c>
      <c r="I402" s="11" t="str">
        <f>IFERROR(VLOOKUP(B402,Datenblatt!$E:$F,2,FALSE),"")</f>
        <v/>
      </c>
      <c r="J402" s="113"/>
      <c r="K402" s="19">
        <f>IF(B402&lt;Datenblatt!$B$9,"",IF(B402="","",IF(G402=0,Datenblatt!$B$7,"")))</f>
        <v>6.67</v>
      </c>
      <c r="L402" s="19" t="str">
        <f t="shared" si="198"/>
        <v/>
      </c>
      <c r="M402" s="124" t="str">
        <f t="shared" si="199"/>
        <v/>
      </c>
      <c r="N402" s="124" t="str">
        <f>IF(AND(L402=Datenblatt!$B$7,NOT(L401=Datenblatt!$B$7),NOT(L403=Datenblatt!$B$7)),"y",IF(AND(L402=Datenblatt!$B$7,L403=Datenblatt!$B$7,NOT(L401=Datenblatt!$B$7)),"a",IF(AND(L402=Datenblatt!$B$7,L401=Datenblatt!$B$7,NOT(L403=Datenblatt!$B$7)),"b","")))</f>
        <v/>
      </c>
      <c r="O402" s="19" t="str">
        <f t="shared" si="200"/>
        <v/>
      </c>
      <c r="P402" s="124" t="str">
        <f>IF(AND(M402=Datenblatt!$B$7,NOT(M401=Datenblatt!$B$7),NOT(M403=Datenblatt!$B$7)),"y",IF(AND(M402=Datenblatt!$B$7,M403=Datenblatt!$B$7,NOT(M401=Datenblatt!$B$7)),"a",IF(AND(M402=Datenblatt!$B$7,M401=Datenblatt!$B$7,NOT(M403=Datenblatt!$B$7)),"b","")))</f>
        <v/>
      </c>
      <c r="Q402" s="19" t="str">
        <f t="shared" si="201"/>
        <v/>
      </c>
      <c r="R402" s="124" t="str">
        <f>IF(I402="","",IF(AND(OR(J402="Krankenstand",J402="Urlaub",J402=""), AND(G402=0,NOT(I402=""))),Datenblatt!$B$7,""))</f>
        <v/>
      </c>
      <c r="S402" s="19" t="str">
        <f>IF(OR(J402="Krankenstand",J402="Urlaub"),"",IF(J402="","",VLOOKUP(D402,Dienste!C:W,21,)))</f>
        <v/>
      </c>
      <c r="T402" s="18" t="str">
        <f>IF(OR(J402="Krankenstand",J402="Urlaub"),"",IF(J402="","",VLOOKUP(D402,Dienste!C:W,5,)))</f>
        <v/>
      </c>
      <c r="U402" s="18" t="str">
        <f>IF(OR(J402="Krankenstand",J402="Urlaub"),"",IF(J402="","",VLOOKUP(D402,Dienste!C:W,6,)))</f>
        <v/>
      </c>
      <c r="V402" s="18" t="str">
        <f>IF(OR(J402="Krankenstand",J402="Urlaub"),"",IF(J402="","",VLOOKUP(D402,Dienste!C:W,7,)))</f>
        <v/>
      </c>
      <c r="W402" s="18" t="str">
        <f>IF(OR(J402="Krankenstand",J402="Urlaub"),"",IF(J402="","",VLOOKUP(D402,Dienste!C:W,11,)))</f>
        <v/>
      </c>
      <c r="X402" s="18" t="str">
        <f>IF(OR(J402="Krankenstand",J402="Urlaub"),"",IF(J402="","",VLOOKUP(D402,Dienste!C:W,12,)))</f>
        <v/>
      </c>
      <c r="Y402" s="19" t="str">
        <f>IF(OR(J402="Krankenstand",J402="Urlaub"),"",IF(J402="","",VLOOKUP(D402,Dienste!C:W,14,)))</f>
        <v/>
      </c>
      <c r="Z402" s="20" t="str">
        <f>IF(OR(J402="Krankenstand",J402="Urlaub"),"",IF(J402="","",VLOOKUP(D402,Dienste!C:W,15,)))</f>
        <v/>
      </c>
      <c r="AA402" s="124" t="str">
        <f t="shared" si="192"/>
        <v/>
      </c>
      <c r="AB402" s="19" t="str">
        <f t="shared" si="193"/>
        <v/>
      </c>
      <c r="AC402" s="126" t="str">
        <f>_xlfn.CONCAT(_xlfn.CONCAT(IF(I402="","",_xlfn.CONCAT("FT: ",I402,IF(J402="","","; "))),IF(B402&lt;Datenblatt!$B$9,"",IF(B402="","",IF(NOT(J402=""),SUBSTITUTE(SUBSTITUTE(SUBSTITUTE(J402," mR","")," oR","")," O",""),"")))),IF(AF402="","",_xlfn.CONCAT(CHAR(10),"; ",AF402)))</f>
        <v/>
      </c>
      <c r="AD402" s="124" t="str">
        <f t="shared" si="202"/>
        <v/>
      </c>
      <c r="AE402" s="19">
        <f t="shared" si="194"/>
        <v>0</v>
      </c>
      <c r="AF402" s="156"/>
    </row>
    <row r="403" spans="2:32" s="9" customFormat="1" ht="13">
      <c r="B403" s="6">
        <f t="shared" si="195"/>
        <v>44875</v>
      </c>
      <c r="C403" s="45">
        <f>SMALL(Daten!W:W,COUNTIF(Daten!W:W,"&lt;"&amp;Stundenaufzeichnung!B403+1))</f>
        <v>44578</v>
      </c>
      <c r="D403" s="45" t="str">
        <f t="shared" si="190"/>
        <v/>
      </c>
      <c r="E403" s="8">
        <f t="shared" si="191"/>
        <v>6</v>
      </c>
      <c r="F403" s="8">
        <f t="shared" si="196"/>
        <v>4</v>
      </c>
      <c r="G403" s="8">
        <f>IF(B403="","",VLOOKUP(E403,Datenblatt!$L$2:$N$8,3,FALSE))</f>
        <v>0</v>
      </c>
      <c r="H403" s="8" t="str">
        <f t="shared" si="197"/>
        <v/>
      </c>
      <c r="I403" s="11" t="str">
        <f>IFERROR(VLOOKUP(B403,Datenblatt!$E:$F,2,FALSE),"")</f>
        <v/>
      </c>
      <c r="J403" s="113"/>
      <c r="K403" s="19">
        <f>IF(B403&lt;Datenblatt!$B$9,"",IF(B403="","",IF(G403=0,Datenblatt!$B$7,"")))</f>
        <v>6.67</v>
      </c>
      <c r="L403" s="19" t="str">
        <f t="shared" si="198"/>
        <v/>
      </c>
      <c r="M403" s="124" t="str">
        <f t="shared" si="199"/>
        <v/>
      </c>
      <c r="N403" s="124" t="str">
        <f>IF(AND(L403=Datenblatt!$B$7,NOT(L402=Datenblatt!$B$7),NOT(L404=Datenblatt!$B$7)),"y",IF(AND(L403=Datenblatt!$B$7,L404=Datenblatt!$B$7,NOT(L402=Datenblatt!$B$7)),"a",IF(AND(L403=Datenblatt!$B$7,L402=Datenblatt!$B$7,NOT(L404=Datenblatt!$B$7)),"b","")))</f>
        <v/>
      </c>
      <c r="O403" s="19" t="str">
        <f t="shared" si="200"/>
        <v/>
      </c>
      <c r="P403" s="124" t="str">
        <f>IF(AND(M403=Datenblatt!$B$7,NOT(M402=Datenblatt!$B$7),NOT(M404=Datenblatt!$B$7)),"y",IF(AND(M403=Datenblatt!$B$7,M404=Datenblatt!$B$7,NOT(M402=Datenblatt!$B$7)),"a",IF(AND(M403=Datenblatt!$B$7,M402=Datenblatt!$B$7,NOT(M404=Datenblatt!$B$7)),"b","")))</f>
        <v/>
      </c>
      <c r="Q403" s="19" t="str">
        <f t="shared" si="201"/>
        <v/>
      </c>
      <c r="R403" s="124" t="str">
        <f>IF(I403="","",IF(AND(OR(J403="Krankenstand",J403="Urlaub",J403=""), AND(G403=0,NOT(I403=""))),Datenblatt!$B$7,""))</f>
        <v/>
      </c>
      <c r="S403" s="19" t="str">
        <f>IF(OR(J403="Krankenstand",J403="Urlaub"),"",IF(J403="","",VLOOKUP(D403,Dienste!C:W,21,)))</f>
        <v/>
      </c>
      <c r="T403" s="18" t="str">
        <f>IF(OR(J403="Krankenstand",J403="Urlaub"),"",IF(J403="","",VLOOKUP(D403,Dienste!C:W,5,)))</f>
        <v/>
      </c>
      <c r="U403" s="18" t="str">
        <f>IF(OR(J403="Krankenstand",J403="Urlaub"),"",IF(J403="","",VLOOKUP(D403,Dienste!C:W,6,)))</f>
        <v/>
      </c>
      <c r="V403" s="18" t="str">
        <f>IF(OR(J403="Krankenstand",J403="Urlaub"),"",IF(J403="","",VLOOKUP(D403,Dienste!C:W,7,)))</f>
        <v/>
      </c>
      <c r="W403" s="18" t="str">
        <f>IF(OR(J403="Krankenstand",J403="Urlaub"),"",IF(J403="","",VLOOKUP(D403,Dienste!C:W,11,)))</f>
        <v/>
      </c>
      <c r="X403" s="18" t="str">
        <f>IF(OR(J403="Krankenstand",J403="Urlaub"),"",IF(J403="","",VLOOKUP(D403,Dienste!C:W,12,)))</f>
        <v/>
      </c>
      <c r="Y403" s="19" t="str">
        <f>IF(OR(J403="Krankenstand",J403="Urlaub"),"",IF(J403="","",VLOOKUP(D403,Dienste!C:W,14,)))</f>
        <v/>
      </c>
      <c r="Z403" s="20" t="str">
        <f>IF(OR(J403="Krankenstand",J403="Urlaub"),"",IF(J403="","",VLOOKUP(D403,Dienste!C:W,15,)))</f>
        <v/>
      </c>
      <c r="AA403" s="124" t="str">
        <f t="shared" si="192"/>
        <v/>
      </c>
      <c r="AB403" s="19" t="str">
        <f t="shared" si="193"/>
        <v/>
      </c>
      <c r="AC403" s="126" t="str">
        <f>_xlfn.CONCAT(_xlfn.CONCAT(IF(I403="","",_xlfn.CONCAT("FT: ",I403,IF(J403="","","; "))),IF(B403&lt;Datenblatt!$B$9,"",IF(B403="","",IF(NOT(J403=""),SUBSTITUTE(SUBSTITUTE(SUBSTITUTE(J403," mR","")," oR","")," O",""),"")))),IF(AF403="","",_xlfn.CONCAT(CHAR(10),"; ",AF403)))</f>
        <v/>
      </c>
      <c r="AD403" s="124" t="str">
        <f t="shared" si="202"/>
        <v/>
      </c>
      <c r="AE403" s="19">
        <f t="shared" si="194"/>
        <v>0</v>
      </c>
      <c r="AF403" s="156"/>
    </row>
    <row r="404" spans="2:32" s="9" customFormat="1" ht="13">
      <c r="B404" s="6">
        <f t="shared" si="195"/>
        <v>44876</v>
      </c>
      <c r="C404" s="45">
        <f>SMALL(Daten!W:W,COUNTIF(Daten!W:W,"&lt;"&amp;Stundenaufzeichnung!B404+1))</f>
        <v>44578</v>
      </c>
      <c r="D404" s="45" t="str">
        <f t="shared" si="190"/>
        <v/>
      </c>
      <c r="E404" s="8">
        <f t="shared" si="191"/>
        <v>7</v>
      </c>
      <c r="F404" s="8">
        <f t="shared" si="196"/>
        <v>5</v>
      </c>
      <c r="G404" s="8">
        <f>IF(B404="","",VLOOKUP(E404,Datenblatt!$L$2:$N$8,3,FALSE))</f>
        <v>0</v>
      </c>
      <c r="H404" s="8" t="str">
        <f t="shared" si="197"/>
        <v/>
      </c>
      <c r="I404" s="11" t="str">
        <f>IFERROR(VLOOKUP(B404,Datenblatt!$E:$F,2,FALSE),"")</f>
        <v/>
      </c>
      <c r="J404" s="113"/>
      <c r="K404" s="19">
        <f>IF(B404&lt;Datenblatt!$B$9,"",IF(B404="","",IF(G404=0,Datenblatt!$B$7,"")))</f>
        <v>6.67</v>
      </c>
      <c r="L404" s="19" t="str">
        <f t="shared" si="198"/>
        <v/>
      </c>
      <c r="M404" s="124" t="str">
        <f t="shared" si="199"/>
        <v/>
      </c>
      <c r="N404" s="124" t="str">
        <f>IF(AND(L404=Datenblatt!$B$7,NOT(L403=Datenblatt!$B$7),NOT(L405=Datenblatt!$B$7)),"y",IF(AND(L404=Datenblatt!$B$7,L405=Datenblatt!$B$7,NOT(L403=Datenblatt!$B$7)),"a",IF(AND(L404=Datenblatt!$B$7,L403=Datenblatt!$B$7,NOT(L405=Datenblatt!$B$7)),"b","")))</f>
        <v/>
      </c>
      <c r="O404" s="19" t="str">
        <f t="shared" si="200"/>
        <v/>
      </c>
      <c r="P404" s="124" t="str">
        <f>IF(AND(M404=Datenblatt!$B$7,NOT(M403=Datenblatt!$B$7),NOT(M405=Datenblatt!$B$7)),"y",IF(AND(M404=Datenblatt!$B$7,M405=Datenblatt!$B$7,NOT(M403=Datenblatt!$B$7)),"a",IF(AND(M404=Datenblatt!$B$7,M403=Datenblatt!$B$7,NOT(M405=Datenblatt!$B$7)),"b","")))</f>
        <v/>
      </c>
      <c r="Q404" s="19" t="str">
        <f t="shared" si="201"/>
        <v/>
      </c>
      <c r="R404" s="124" t="str">
        <f>IF(I404="","",IF(AND(OR(J404="Krankenstand",J404="Urlaub",J404=""), AND(G404=0,NOT(I404=""))),Datenblatt!$B$7,""))</f>
        <v/>
      </c>
      <c r="S404" s="19" t="str">
        <f>IF(OR(J404="Krankenstand",J404="Urlaub"),"",IF(J404="","",VLOOKUP(D404,Dienste!C:W,21,)))</f>
        <v/>
      </c>
      <c r="T404" s="18" t="str">
        <f>IF(OR(J404="Krankenstand",J404="Urlaub"),"",IF(J404="","",VLOOKUP(D404,Dienste!C:W,5,)))</f>
        <v/>
      </c>
      <c r="U404" s="18" t="str">
        <f>IF(OR(J404="Krankenstand",J404="Urlaub"),"",IF(J404="","",VLOOKUP(D404,Dienste!C:W,6,)))</f>
        <v/>
      </c>
      <c r="V404" s="18" t="str">
        <f>IF(OR(J404="Krankenstand",J404="Urlaub"),"",IF(J404="","",VLOOKUP(D404,Dienste!C:W,7,)))</f>
        <v/>
      </c>
      <c r="W404" s="18" t="str">
        <f>IF(OR(J404="Krankenstand",J404="Urlaub"),"",IF(J404="","",VLOOKUP(D404,Dienste!C:W,11,)))</f>
        <v/>
      </c>
      <c r="X404" s="18" t="str">
        <f>IF(OR(J404="Krankenstand",J404="Urlaub"),"",IF(J404="","",VLOOKUP(D404,Dienste!C:W,12,)))</f>
        <v/>
      </c>
      <c r="Y404" s="19" t="str">
        <f>IF(OR(J404="Krankenstand",J404="Urlaub"),"",IF(J404="","",VLOOKUP(D404,Dienste!C:W,14,)))</f>
        <v/>
      </c>
      <c r="Z404" s="20" t="str">
        <f>IF(OR(J404="Krankenstand",J404="Urlaub"),"",IF(J404="","",VLOOKUP(D404,Dienste!C:W,15,)))</f>
        <v/>
      </c>
      <c r="AA404" s="124" t="str">
        <f t="shared" si="192"/>
        <v/>
      </c>
      <c r="AB404" s="19" t="str">
        <f t="shared" si="193"/>
        <v/>
      </c>
      <c r="AC404" s="126" t="str">
        <f>_xlfn.CONCAT(_xlfn.CONCAT(IF(I404="","",_xlfn.CONCAT("FT: ",I404,IF(J404="","","; "))),IF(B404&lt;Datenblatt!$B$9,"",IF(B404="","",IF(NOT(J404=""),SUBSTITUTE(SUBSTITUTE(SUBSTITUTE(J404," mR","")," oR","")," O",""),"")))),IF(AF404="","",_xlfn.CONCAT(CHAR(10),"; ",AF404)))</f>
        <v/>
      </c>
      <c r="AD404" s="124" t="str">
        <f t="shared" si="202"/>
        <v/>
      </c>
      <c r="AE404" s="19">
        <f t="shared" si="194"/>
        <v>0</v>
      </c>
      <c r="AF404" s="156"/>
    </row>
    <row r="405" spans="2:32" s="9" customFormat="1" ht="13">
      <c r="B405" s="6">
        <f t="shared" si="195"/>
        <v>44877</v>
      </c>
      <c r="C405" s="45">
        <f>SMALL(Daten!W:W,COUNTIF(Daten!W:W,"&lt;"&amp;Stundenaufzeichnung!B405+1))</f>
        <v>44578</v>
      </c>
      <c r="D405" s="45" t="str">
        <f t="shared" si="190"/>
        <v/>
      </c>
      <c r="E405" s="8">
        <f t="shared" si="191"/>
        <v>1</v>
      </c>
      <c r="F405" s="8">
        <f t="shared" si="196"/>
        <v>6</v>
      </c>
      <c r="G405" s="8">
        <f>IF(B405="","",VLOOKUP(E405,Datenblatt!$L$2:$N$8,3,FALSE))</f>
        <v>0</v>
      </c>
      <c r="H405" s="8" t="str">
        <f t="shared" si="197"/>
        <v/>
      </c>
      <c r="I405" s="11" t="str">
        <f>IFERROR(VLOOKUP(B405,Datenblatt!$E:$F,2,FALSE),"")</f>
        <v/>
      </c>
      <c r="J405" s="113"/>
      <c r="K405" s="19">
        <f>IF(B405&lt;Datenblatt!$B$9,"",IF(B405="","",IF(G405=0,Datenblatt!$B$7,"")))</f>
        <v>6.67</v>
      </c>
      <c r="L405" s="19" t="str">
        <f t="shared" si="198"/>
        <v/>
      </c>
      <c r="M405" s="124" t="str">
        <f t="shared" si="199"/>
        <v/>
      </c>
      <c r="N405" s="124" t="str">
        <f>IF(AND(L405=Datenblatt!$B$7,NOT(L404=Datenblatt!$B$7),NOT(L406=Datenblatt!$B$7)),"y",IF(AND(L405=Datenblatt!$B$7,L406=Datenblatt!$B$7,NOT(L404=Datenblatt!$B$7)),"a",IF(AND(L405=Datenblatt!$B$7,L404=Datenblatt!$B$7,NOT(L406=Datenblatt!$B$7)),"b","")))</f>
        <v/>
      </c>
      <c r="O405" s="19" t="str">
        <f t="shared" si="200"/>
        <v/>
      </c>
      <c r="P405" s="124" t="str">
        <f>IF(AND(M405=Datenblatt!$B$7,NOT(M404=Datenblatt!$B$7),NOT(M406=Datenblatt!$B$7)),"y",IF(AND(M405=Datenblatt!$B$7,M406=Datenblatt!$B$7,NOT(M404=Datenblatt!$B$7)),"a",IF(AND(M405=Datenblatt!$B$7,M404=Datenblatt!$B$7,NOT(M406=Datenblatt!$B$7)),"b","")))</f>
        <v/>
      </c>
      <c r="Q405" s="19" t="str">
        <f t="shared" si="201"/>
        <v/>
      </c>
      <c r="R405" s="124" t="str">
        <f>IF(I405="","",IF(AND(OR(J405="Krankenstand",J405="Urlaub",J405=""), AND(G405=0,NOT(I405=""))),Datenblatt!$B$7,""))</f>
        <v/>
      </c>
      <c r="S405" s="19" t="str">
        <f>IF(OR(J405="Krankenstand",J405="Urlaub"),"",IF(J405="","",VLOOKUP(D405,Dienste!C:W,21,)))</f>
        <v/>
      </c>
      <c r="T405" s="18" t="str">
        <f>IF(OR(J405="Krankenstand",J405="Urlaub"),"",IF(J405="","",VLOOKUP(D405,Dienste!C:W,5,)))</f>
        <v/>
      </c>
      <c r="U405" s="18" t="str">
        <f>IF(OR(J405="Krankenstand",J405="Urlaub"),"",IF(J405="","",VLOOKUP(D405,Dienste!C:W,6,)))</f>
        <v/>
      </c>
      <c r="V405" s="18" t="str">
        <f>IF(OR(J405="Krankenstand",J405="Urlaub"),"",IF(J405="","",VLOOKUP(D405,Dienste!C:W,7,)))</f>
        <v/>
      </c>
      <c r="W405" s="18" t="str">
        <f>IF(OR(J405="Krankenstand",J405="Urlaub"),"",IF(J405="","",VLOOKUP(D405,Dienste!C:W,11,)))</f>
        <v/>
      </c>
      <c r="X405" s="18" t="str">
        <f>IF(OR(J405="Krankenstand",J405="Urlaub"),"",IF(J405="","",VLOOKUP(D405,Dienste!C:W,12,)))</f>
        <v/>
      </c>
      <c r="Y405" s="19" t="str">
        <f>IF(OR(J405="Krankenstand",J405="Urlaub"),"",IF(J405="","",VLOOKUP(D405,Dienste!C:W,14,)))</f>
        <v/>
      </c>
      <c r="Z405" s="20" t="str">
        <f>IF(OR(J405="Krankenstand",J405="Urlaub"),"",IF(J405="","",VLOOKUP(D405,Dienste!C:W,15,)))</f>
        <v/>
      </c>
      <c r="AA405" s="124" t="str">
        <f t="shared" si="192"/>
        <v/>
      </c>
      <c r="AB405" s="19" t="str">
        <f t="shared" si="193"/>
        <v/>
      </c>
      <c r="AC405" s="126" t="str">
        <f>_xlfn.CONCAT(_xlfn.CONCAT(IF(I405="","",_xlfn.CONCAT("FT: ",I405,IF(J405="","","; "))),IF(B405&lt;Datenblatt!$B$9,"",IF(B405="","",IF(NOT(J405=""),SUBSTITUTE(SUBSTITUTE(SUBSTITUTE(J405," mR","")," oR","")," O",""),"")))),IF(AF405="","",_xlfn.CONCAT(CHAR(10),"; ",AF405)))</f>
        <v/>
      </c>
      <c r="AD405" s="124" t="str">
        <f t="shared" si="202"/>
        <v/>
      </c>
      <c r="AE405" s="19">
        <f t="shared" si="194"/>
        <v>0</v>
      </c>
      <c r="AF405" s="156"/>
    </row>
    <row r="406" spans="2:32" s="9" customFormat="1" ht="13">
      <c r="B406" s="6">
        <f t="shared" si="195"/>
        <v>44878</v>
      </c>
      <c r="C406" s="45">
        <f>SMALL(Daten!W:W,COUNTIF(Daten!W:W,"&lt;"&amp;Stundenaufzeichnung!B406+1))</f>
        <v>44578</v>
      </c>
      <c r="D406" s="45" t="str">
        <f t="shared" si="190"/>
        <v/>
      </c>
      <c r="E406" s="8">
        <f t="shared" si="191"/>
        <v>2</v>
      </c>
      <c r="F406" s="8">
        <f t="shared" si="196"/>
        <v>7</v>
      </c>
      <c r="G406" s="8">
        <f>IF(B406="","",VLOOKUP(E406,Datenblatt!$L$2:$N$8,3,FALSE))</f>
        <v>1</v>
      </c>
      <c r="H406" s="8" t="str">
        <f t="shared" si="197"/>
        <v>x</v>
      </c>
      <c r="I406" s="11" t="str">
        <f>IFERROR(VLOOKUP(B406,Datenblatt!$E:$F,2,FALSE),"")</f>
        <v/>
      </c>
      <c r="J406" s="113"/>
      <c r="K406" s="19" t="str">
        <f>IF(B406&lt;Datenblatt!$B$9,"",IF(B406="","",IF(G406=0,Datenblatt!$B$7,"")))</f>
        <v/>
      </c>
      <c r="L406" s="19" t="str">
        <f t="shared" si="198"/>
        <v/>
      </c>
      <c r="M406" s="124" t="str">
        <f t="shared" si="199"/>
        <v/>
      </c>
      <c r="N406" s="124" t="str">
        <f>IF(AND(L406=Datenblatt!$B$7,NOT(L405=Datenblatt!$B$7),NOT(L407=Datenblatt!$B$7)),"y",IF(AND(L406=Datenblatt!$B$7,L407=Datenblatt!$B$7,NOT(L405=Datenblatt!$B$7)),"a",IF(AND(L406=Datenblatt!$B$7,L405=Datenblatt!$B$7,NOT(L407=Datenblatt!$B$7)),"b","")))</f>
        <v/>
      </c>
      <c r="O406" s="19" t="str">
        <f t="shared" si="200"/>
        <v/>
      </c>
      <c r="P406" s="124" t="str">
        <f>IF(AND(M406=Datenblatt!$B$7,NOT(M405=Datenblatt!$B$7),NOT(M407=Datenblatt!$B$7)),"y",IF(AND(M406=Datenblatt!$B$7,M407=Datenblatt!$B$7,NOT(M405=Datenblatt!$B$7)),"a",IF(AND(M406=Datenblatt!$B$7,M405=Datenblatt!$B$7,NOT(M407=Datenblatt!$B$7)),"b","")))</f>
        <v/>
      </c>
      <c r="Q406" s="19" t="str">
        <f t="shared" si="201"/>
        <v/>
      </c>
      <c r="R406" s="124" t="str">
        <f>IF(I406="","",IF(AND(OR(J406="Krankenstand",J406="Urlaub",J406=""), AND(G406=0,NOT(I406=""))),Datenblatt!$B$7,""))</f>
        <v/>
      </c>
      <c r="S406" s="19" t="str">
        <f>IF(OR(J406="Krankenstand",J406="Urlaub"),"",IF(J406="","",VLOOKUP(D406,Dienste!C:W,21,)))</f>
        <v/>
      </c>
      <c r="T406" s="18" t="str">
        <f>IF(OR(J406="Krankenstand",J406="Urlaub"),"",IF(J406="","",VLOOKUP(D406,Dienste!C:W,5,)))</f>
        <v/>
      </c>
      <c r="U406" s="18" t="str">
        <f>IF(OR(J406="Krankenstand",J406="Urlaub"),"",IF(J406="","",VLOOKUP(D406,Dienste!C:W,6,)))</f>
        <v/>
      </c>
      <c r="V406" s="18" t="str">
        <f>IF(OR(J406="Krankenstand",J406="Urlaub"),"",IF(J406="","",VLOOKUP(D406,Dienste!C:W,7,)))</f>
        <v/>
      </c>
      <c r="W406" s="18" t="str">
        <f>IF(OR(J406="Krankenstand",J406="Urlaub"),"",IF(J406="","",VLOOKUP(D406,Dienste!C:W,11,)))</f>
        <v/>
      </c>
      <c r="X406" s="18" t="str">
        <f>IF(OR(J406="Krankenstand",J406="Urlaub"),"",IF(J406="","",VLOOKUP(D406,Dienste!C:W,12,)))</f>
        <v/>
      </c>
      <c r="Y406" s="19" t="str">
        <f>IF(OR(J406="Krankenstand",J406="Urlaub"),"",IF(J406="","",VLOOKUP(D406,Dienste!C:W,14,)))</f>
        <v/>
      </c>
      <c r="Z406" s="20" t="str">
        <f>IF(OR(J406="Krankenstand",J406="Urlaub"),"",IF(J406="","",VLOOKUP(D406,Dienste!C:W,15,)))</f>
        <v/>
      </c>
      <c r="AA406" s="124" t="str">
        <f t="shared" si="192"/>
        <v/>
      </c>
      <c r="AB406" s="19" t="str">
        <f t="shared" si="193"/>
        <v/>
      </c>
      <c r="AC406" s="126" t="str">
        <f>_xlfn.CONCAT(_xlfn.CONCAT(IF(I406="","",_xlfn.CONCAT("FT: ",I406,IF(J406="","","; "))),IF(B406&lt;Datenblatt!$B$9,"",IF(B406="","",IF(NOT(J406=""),SUBSTITUTE(SUBSTITUTE(SUBSTITUTE(J406," mR","")," oR","")," O",""),"")))),IF(AF406="","",_xlfn.CONCAT(CHAR(10),"; ",AF406)))</f>
        <v/>
      </c>
      <c r="AD406" s="124" t="str">
        <f t="shared" si="202"/>
        <v/>
      </c>
      <c r="AE406" s="19">
        <f t="shared" si="194"/>
        <v>0</v>
      </c>
      <c r="AF406" s="156"/>
    </row>
    <row r="407" spans="2:32" s="9" customFormat="1" ht="13">
      <c r="B407" s="6">
        <f t="shared" si="195"/>
        <v>44879</v>
      </c>
      <c r="C407" s="45">
        <f>SMALL(Daten!W:W,COUNTIF(Daten!W:W,"&lt;"&amp;Stundenaufzeichnung!B407+1))</f>
        <v>44578</v>
      </c>
      <c r="D407" s="45" t="str">
        <f t="shared" si="190"/>
        <v/>
      </c>
      <c r="E407" s="8">
        <f t="shared" si="191"/>
        <v>3</v>
      </c>
      <c r="F407" s="8">
        <f t="shared" si="196"/>
        <v>1</v>
      </c>
      <c r="G407" s="8">
        <f>IF(B407="","",VLOOKUP(E407,Datenblatt!$L$2:$N$8,3,FALSE))</f>
        <v>0</v>
      </c>
      <c r="H407" s="8" t="str">
        <f t="shared" si="197"/>
        <v/>
      </c>
      <c r="I407" s="11" t="str">
        <f>IFERROR(VLOOKUP(B407,Datenblatt!$E:$F,2,FALSE),"")</f>
        <v/>
      </c>
      <c r="J407" s="113"/>
      <c r="K407" s="19">
        <f>IF(B407&lt;Datenblatt!$B$9,"",IF(B407="","",IF(G407=0,Datenblatt!$B$7,"")))</f>
        <v>6.67</v>
      </c>
      <c r="L407" s="19" t="str">
        <f t="shared" si="198"/>
        <v/>
      </c>
      <c r="M407" s="124" t="str">
        <f t="shared" si="199"/>
        <v/>
      </c>
      <c r="N407" s="124" t="str">
        <f>IF(AND(L407=Datenblatt!$B$7,NOT(L406=Datenblatt!$B$7),NOT(L408=Datenblatt!$B$7)),"y",IF(AND(L407=Datenblatt!$B$7,L408=Datenblatt!$B$7,NOT(L406=Datenblatt!$B$7)),"a",IF(AND(L407=Datenblatt!$B$7,L406=Datenblatt!$B$7,NOT(L408=Datenblatt!$B$7)),"b","")))</f>
        <v/>
      </c>
      <c r="O407" s="19" t="str">
        <f t="shared" si="200"/>
        <v/>
      </c>
      <c r="P407" s="124" t="str">
        <f>IF(AND(M407=Datenblatt!$B$7,NOT(M406=Datenblatt!$B$7),NOT(M408=Datenblatt!$B$7)),"y",IF(AND(M407=Datenblatt!$B$7,M408=Datenblatt!$B$7,NOT(M406=Datenblatt!$B$7)),"a",IF(AND(M407=Datenblatt!$B$7,M406=Datenblatt!$B$7,NOT(M408=Datenblatt!$B$7)),"b","")))</f>
        <v/>
      </c>
      <c r="Q407" s="19" t="str">
        <f t="shared" si="201"/>
        <v/>
      </c>
      <c r="R407" s="124" t="str">
        <f>IF(I407="","",IF(AND(OR(J407="Krankenstand",J407="Urlaub",J407=""), AND(G407=0,NOT(I407=""))),Datenblatt!$B$7,""))</f>
        <v/>
      </c>
      <c r="S407" s="19" t="str">
        <f>IF(OR(J407="Krankenstand",J407="Urlaub"),"",IF(J407="","",VLOOKUP(D407,Dienste!C:W,21,)))</f>
        <v/>
      </c>
      <c r="T407" s="18" t="str">
        <f>IF(OR(J407="Krankenstand",J407="Urlaub"),"",IF(J407="","",VLOOKUP(D407,Dienste!C:W,5,)))</f>
        <v/>
      </c>
      <c r="U407" s="18" t="str">
        <f>IF(OR(J407="Krankenstand",J407="Urlaub"),"",IF(J407="","",VLOOKUP(D407,Dienste!C:W,6,)))</f>
        <v/>
      </c>
      <c r="V407" s="18" t="str">
        <f>IF(OR(J407="Krankenstand",J407="Urlaub"),"",IF(J407="","",VLOOKUP(D407,Dienste!C:W,7,)))</f>
        <v/>
      </c>
      <c r="W407" s="18" t="str">
        <f>IF(OR(J407="Krankenstand",J407="Urlaub"),"",IF(J407="","",VLOOKUP(D407,Dienste!C:W,11,)))</f>
        <v/>
      </c>
      <c r="X407" s="18" t="str">
        <f>IF(OR(J407="Krankenstand",J407="Urlaub"),"",IF(J407="","",VLOOKUP(D407,Dienste!C:W,12,)))</f>
        <v/>
      </c>
      <c r="Y407" s="19" t="str">
        <f>IF(OR(J407="Krankenstand",J407="Urlaub"),"",IF(J407="","",VLOOKUP(D407,Dienste!C:W,14,)))</f>
        <v/>
      </c>
      <c r="Z407" s="20" t="str">
        <f>IF(OR(J407="Krankenstand",J407="Urlaub"),"",IF(J407="","",VLOOKUP(D407,Dienste!C:W,15,)))</f>
        <v/>
      </c>
      <c r="AA407" s="124" t="str">
        <f t="shared" si="192"/>
        <v/>
      </c>
      <c r="AB407" s="19" t="str">
        <f t="shared" si="193"/>
        <v/>
      </c>
      <c r="AC407" s="126" t="str">
        <f>_xlfn.CONCAT(_xlfn.CONCAT(IF(I407="","",_xlfn.CONCAT("FT: ",I407,IF(J407="","","; "))),IF(B407&lt;Datenblatt!$B$9,"",IF(B407="","",IF(NOT(J407=""),SUBSTITUTE(SUBSTITUTE(SUBSTITUTE(J407," mR","")," oR","")," O",""),"")))),IF(AF407="","",_xlfn.CONCAT(CHAR(10),"; ",AF407)))</f>
        <v/>
      </c>
      <c r="AD407" s="124" t="str">
        <f t="shared" si="202"/>
        <v/>
      </c>
      <c r="AE407" s="19">
        <f t="shared" si="194"/>
        <v>0</v>
      </c>
      <c r="AF407" s="156"/>
    </row>
    <row r="408" spans="2:32" s="9" customFormat="1" ht="13">
      <c r="B408" s="6">
        <f t="shared" si="195"/>
        <v>44880</v>
      </c>
      <c r="C408" s="45">
        <f>SMALL(Daten!W:W,COUNTIF(Daten!W:W,"&lt;"&amp;Stundenaufzeichnung!B408+1))</f>
        <v>44578</v>
      </c>
      <c r="D408" s="45" t="str">
        <f t="shared" si="190"/>
        <v/>
      </c>
      <c r="E408" s="8">
        <f t="shared" si="191"/>
        <v>4</v>
      </c>
      <c r="F408" s="8">
        <f t="shared" si="196"/>
        <v>2</v>
      </c>
      <c r="G408" s="8">
        <f>IF(B408="","",VLOOKUP(E408,Datenblatt!$L$2:$N$8,3,FALSE))</f>
        <v>0</v>
      </c>
      <c r="H408" s="8" t="str">
        <f t="shared" si="197"/>
        <v/>
      </c>
      <c r="I408" s="11" t="str">
        <f>IFERROR(VLOOKUP(B408,Datenblatt!$E:$F,2,FALSE),"")</f>
        <v/>
      </c>
      <c r="J408" s="113"/>
      <c r="K408" s="19">
        <f>IF(B408&lt;Datenblatt!$B$9,"",IF(B408="","",IF(G408=0,Datenblatt!$B$7,"")))</f>
        <v>6.67</v>
      </c>
      <c r="L408" s="19" t="str">
        <f t="shared" si="198"/>
        <v/>
      </c>
      <c r="M408" s="124" t="str">
        <f t="shared" si="199"/>
        <v/>
      </c>
      <c r="N408" s="124" t="str">
        <f>IF(AND(L408=Datenblatt!$B$7,NOT(L407=Datenblatt!$B$7),NOT(L409=Datenblatt!$B$7)),"y",IF(AND(L408=Datenblatt!$B$7,L409=Datenblatt!$B$7,NOT(L407=Datenblatt!$B$7)),"a",IF(AND(L408=Datenblatt!$B$7,L407=Datenblatt!$B$7,NOT(L409=Datenblatt!$B$7)),"b","")))</f>
        <v/>
      </c>
      <c r="O408" s="19" t="str">
        <f t="shared" si="200"/>
        <v/>
      </c>
      <c r="P408" s="124" t="str">
        <f>IF(AND(M408=Datenblatt!$B$7,NOT(M407=Datenblatt!$B$7),NOT(M409=Datenblatt!$B$7)),"y",IF(AND(M408=Datenblatt!$B$7,M409=Datenblatt!$B$7,NOT(M407=Datenblatt!$B$7)),"a",IF(AND(M408=Datenblatt!$B$7,M407=Datenblatt!$B$7,NOT(M409=Datenblatt!$B$7)),"b","")))</f>
        <v/>
      </c>
      <c r="Q408" s="19" t="str">
        <f t="shared" si="201"/>
        <v/>
      </c>
      <c r="R408" s="124" t="str">
        <f>IF(I408="","",IF(AND(OR(J408="Krankenstand",J408="Urlaub",J408=""), AND(G408=0,NOT(I408=""))),Datenblatt!$B$7,""))</f>
        <v/>
      </c>
      <c r="S408" s="19" t="str">
        <f>IF(OR(J408="Krankenstand",J408="Urlaub"),"",IF(J408="","",VLOOKUP(D408,Dienste!C:W,21,)))</f>
        <v/>
      </c>
      <c r="T408" s="18" t="str">
        <f>IF(OR(J408="Krankenstand",J408="Urlaub"),"",IF(J408="","",VLOOKUP(D408,Dienste!C:W,5,)))</f>
        <v/>
      </c>
      <c r="U408" s="18" t="str">
        <f>IF(OR(J408="Krankenstand",J408="Urlaub"),"",IF(J408="","",VLOOKUP(D408,Dienste!C:W,6,)))</f>
        <v/>
      </c>
      <c r="V408" s="18" t="str">
        <f>IF(OR(J408="Krankenstand",J408="Urlaub"),"",IF(J408="","",VLOOKUP(D408,Dienste!C:W,7,)))</f>
        <v/>
      </c>
      <c r="W408" s="18" t="str">
        <f>IF(OR(J408="Krankenstand",J408="Urlaub"),"",IF(J408="","",VLOOKUP(D408,Dienste!C:W,11,)))</f>
        <v/>
      </c>
      <c r="X408" s="18" t="str">
        <f>IF(OR(J408="Krankenstand",J408="Urlaub"),"",IF(J408="","",VLOOKUP(D408,Dienste!C:W,12,)))</f>
        <v/>
      </c>
      <c r="Y408" s="19" t="str">
        <f>IF(OR(J408="Krankenstand",J408="Urlaub"),"",IF(J408="","",VLOOKUP(D408,Dienste!C:W,14,)))</f>
        <v/>
      </c>
      <c r="Z408" s="20" t="str">
        <f>IF(OR(J408="Krankenstand",J408="Urlaub"),"",IF(J408="","",VLOOKUP(D408,Dienste!C:W,15,)))</f>
        <v/>
      </c>
      <c r="AA408" s="124" t="str">
        <f t="shared" si="192"/>
        <v/>
      </c>
      <c r="AB408" s="19" t="str">
        <f t="shared" si="193"/>
        <v/>
      </c>
      <c r="AC408" s="126" t="str">
        <f>_xlfn.CONCAT(_xlfn.CONCAT(IF(I408="","",_xlfn.CONCAT("FT: ",I408,IF(J408="","","; "))),IF(B408&lt;Datenblatt!$B$9,"",IF(B408="","",IF(NOT(J408=""),SUBSTITUTE(SUBSTITUTE(SUBSTITUTE(J408," mR","")," oR","")," O",""),"")))),IF(AF408="","",_xlfn.CONCAT(CHAR(10),"; ",AF408)))</f>
        <v/>
      </c>
      <c r="AD408" s="124" t="str">
        <f t="shared" si="202"/>
        <v/>
      </c>
      <c r="AE408" s="19">
        <f t="shared" si="194"/>
        <v>0</v>
      </c>
      <c r="AF408" s="156"/>
    </row>
    <row r="409" spans="2:32" s="9" customFormat="1" ht="13">
      <c r="B409" s="6">
        <f t="shared" si="195"/>
        <v>44881</v>
      </c>
      <c r="C409" s="45">
        <f>SMALL(Daten!W:W,COUNTIF(Daten!W:W,"&lt;"&amp;Stundenaufzeichnung!B409+1))</f>
        <v>44578</v>
      </c>
      <c r="D409" s="45" t="str">
        <f t="shared" si="190"/>
        <v/>
      </c>
      <c r="E409" s="8">
        <f t="shared" si="191"/>
        <v>5</v>
      </c>
      <c r="F409" s="8">
        <f t="shared" si="196"/>
        <v>3</v>
      </c>
      <c r="G409" s="8">
        <f>IF(B409="","",VLOOKUP(E409,Datenblatt!$L$2:$N$8,3,FALSE))</f>
        <v>0</v>
      </c>
      <c r="H409" s="8" t="str">
        <f t="shared" si="197"/>
        <v/>
      </c>
      <c r="I409" s="11" t="str">
        <f>IFERROR(VLOOKUP(B409,Datenblatt!$E:$F,2,FALSE),"")</f>
        <v/>
      </c>
      <c r="J409" s="113"/>
      <c r="K409" s="19">
        <f>IF(B409&lt;Datenblatt!$B$9,"",IF(B409="","",IF(G409=0,Datenblatt!$B$7,"")))</f>
        <v>6.67</v>
      </c>
      <c r="L409" s="19" t="str">
        <f t="shared" si="198"/>
        <v/>
      </c>
      <c r="M409" s="124" t="str">
        <f t="shared" si="199"/>
        <v/>
      </c>
      <c r="N409" s="124" t="str">
        <f>IF(AND(L409=Datenblatt!$B$7,NOT(L408=Datenblatt!$B$7),NOT(L410=Datenblatt!$B$7)),"y",IF(AND(L409=Datenblatt!$B$7,L410=Datenblatt!$B$7,NOT(L408=Datenblatt!$B$7)),"a",IF(AND(L409=Datenblatt!$B$7,L408=Datenblatt!$B$7,NOT(L410=Datenblatt!$B$7)),"b","")))</f>
        <v/>
      </c>
      <c r="O409" s="19" t="str">
        <f t="shared" si="200"/>
        <v/>
      </c>
      <c r="P409" s="124" t="str">
        <f>IF(AND(M409=Datenblatt!$B$7,NOT(M408=Datenblatt!$B$7),NOT(M410=Datenblatt!$B$7)),"y",IF(AND(M409=Datenblatt!$B$7,M410=Datenblatt!$B$7,NOT(M408=Datenblatt!$B$7)),"a",IF(AND(M409=Datenblatt!$B$7,M408=Datenblatt!$B$7,NOT(M410=Datenblatt!$B$7)),"b","")))</f>
        <v/>
      </c>
      <c r="Q409" s="19" t="str">
        <f t="shared" si="201"/>
        <v/>
      </c>
      <c r="R409" s="124" t="str">
        <f>IF(I409="","",IF(AND(OR(J409="Krankenstand",J409="Urlaub",J409=""), AND(G409=0,NOT(I409=""))),Datenblatt!$B$7,""))</f>
        <v/>
      </c>
      <c r="S409" s="19" t="str">
        <f>IF(OR(J409="Krankenstand",J409="Urlaub"),"",IF(J409="","",VLOOKUP(D409,Dienste!C:W,21,)))</f>
        <v/>
      </c>
      <c r="T409" s="18" t="str">
        <f>IF(OR(J409="Krankenstand",J409="Urlaub"),"",IF(J409="","",VLOOKUP(D409,Dienste!C:W,5,)))</f>
        <v/>
      </c>
      <c r="U409" s="18" t="str">
        <f>IF(OR(J409="Krankenstand",J409="Urlaub"),"",IF(J409="","",VLOOKUP(D409,Dienste!C:W,6,)))</f>
        <v/>
      </c>
      <c r="V409" s="18" t="str">
        <f>IF(OR(J409="Krankenstand",J409="Urlaub"),"",IF(J409="","",VLOOKUP(D409,Dienste!C:W,7,)))</f>
        <v/>
      </c>
      <c r="W409" s="18" t="str">
        <f>IF(OR(J409="Krankenstand",J409="Urlaub"),"",IF(J409="","",VLOOKUP(D409,Dienste!C:W,11,)))</f>
        <v/>
      </c>
      <c r="X409" s="18" t="str">
        <f>IF(OR(J409="Krankenstand",J409="Urlaub"),"",IF(J409="","",VLOOKUP(D409,Dienste!C:W,12,)))</f>
        <v/>
      </c>
      <c r="Y409" s="19" t="str">
        <f>IF(OR(J409="Krankenstand",J409="Urlaub"),"",IF(J409="","",VLOOKUP(D409,Dienste!C:W,14,)))</f>
        <v/>
      </c>
      <c r="Z409" s="20" t="str">
        <f>IF(OR(J409="Krankenstand",J409="Urlaub"),"",IF(J409="","",VLOOKUP(D409,Dienste!C:W,15,)))</f>
        <v/>
      </c>
      <c r="AA409" s="124" t="str">
        <f t="shared" si="192"/>
        <v/>
      </c>
      <c r="AB409" s="19" t="str">
        <f t="shared" si="193"/>
        <v/>
      </c>
      <c r="AC409" s="126" t="str">
        <f>_xlfn.CONCAT(_xlfn.CONCAT(IF(I409="","",_xlfn.CONCAT("FT: ",I409,IF(J409="","","; "))),IF(B409&lt;Datenblatt!$B$9,"",IF(B409="","",IF(NOT(J409=""),SUBSTITUTE(SUBSTITUTE(SUBSTITUTE(J409," mR","")," oR","")," O",""),"")))),IF(AF409="","",_xlfn.CONCAT(CHAR(10),"; ",AF409)))</f>
        <v/>
      </c>
      <c r="AD409" s="124" t="str">
        <f t="shared" si="202"/>
        <v/>
      </c>
      <c r="AE409" s="19">
        <f t="shared" si="194"/>
        <v>0</v>
      </c>
      <c r="AF409" s="156"/>
    </row>
    <row r="410" spans="2:32" s="9" customFormat="1" ht="13">
      <c r="B410" s="6">
        <f t="shared" si="195"/>
        <v>44882</v>
      </c>
      <c r="C410" s="45">
        <f>SMALL(Daten!W:W,COUNTIF(Daten!W:W,"&lt;"&amp;Stundenaufzeichnung!B410+1))</f>
        <v>44578</v>
      </c>
      <c r="D410" s="45" t="str">
        <f t="shared" si="190"/>
        <v/>
      </c>
      <c r="E410" s="8">
        <f t="shared" si="191"/>
        <v>6</v>
      </c>
      <c r="F410" s="8">
        <f t="shared" si="196"/>
        <v>4</v>
      </c>
      <c r="G410" s="8">
        <f>IF(B410="","",VLOOKUP(E410,Datenblatt!$L$2:$N$8,3,FALSE))</f>
        <v>0</v>
      </c>
      <c r="H410" s="8" t="str">
        <f t="shared" si="197"/>
        <v/>
      </c>
      <c r="I410" s="11" t="str">
        <f>IFERROR(VLOOKUP(B410,Datenblatt!$E:$F,2,FALSE),"")</f>
        <v/>
      </c>
      <c r="J410" s="113"/>
      <c r="K410" s="19">
        <f>IF(B410&lt;Datenblatt!$B$9,"",IF(B410="","",IF(G410=0,Datenblatt!$B$7,"")))</f>
        <v>6.67</v>
      </c>
      <c r="L410" s="19" t="str">
        <f t="shared" si="198"/>
        <v/>
      </c>
      <c r="M410" s="124" t="str">
        <f t="shared" si="199"/>
        <v/>
      </c>
      <c r="N410" s="124" t="str">
        <f>IF(AND(L410=Datenblatt!$B$7,NOT(L409=Datenblatt!$B$7),NOT(L411=Datenblatt!$B$7)),"y",IF(AND(L410=Datenblatt!$B$7,L411=Datenblatt!$B$7,NOT(L409=Datenblatt!$B$7)),"a",IF(AND(L410=Datenblatt!$B$7,L409=Datenblatt!$B$7,NOT(L411=Datenblatt!$B$7)),"b","")))</f>
        <v/>
      </c>
      <c r="O410" s="19" t="str">
        <f t="shared" si="200"/>
        <v/>
      </c>
      <c r="P410" s="124" t="str">
        <f>IF(AND(M410=Datenblatt!$B$7,NOT(M409=Datenblatt!$B$7),NOT(M411=Datenblatt!$B$7)),"y",IF(AND(M410=Datenblatt!$B$7,M411=Datenblatt!$B$7,NOT(M409=Datenblatt!$B$7)),"a",IF(AND(M410=Datenblatt!$B$7,M409=Datenblatt!$B$7,NOT(M411=Datenblatt!$B$7)),"b","")))</f>
        <v/>
      </c>
      <c r="Q410" s="19" t="str">
        <f t="shared" si="201"/>
        <v/>
      </c>
      <c r="R410" s="124" t="str">
        <f>IF(I410="","",IF(AND(OR(J410="Krankenstand",J410="Urlaub",J410=""), AND(G410=0,NOT(I410=""))),Datenblatt!$B$7,""))</f>
        <v/>
      </c>
      <c r="S410" s="19" t="str">
        <f>IF(OR(J410="Krankenstand",J410="Urlaub"),"",IF(J410="","",VLOOKUP(D410,Dienste!C:W,21,)))</f>
        <v/>
      </c>
      <c r="T410" s="18" t="str">
        <f>IF(OR(J410="Krankenstand",J410="Urlaub"),"",IF(J410="","",VLOOKUP(D410,Dienste!C:W,5,)))</f>
        <v/>
      </c>
      <c r="U410" s="18" t="str">
        <f>IF(OR(J410="Krankenstand",J410="Urlaub"),"",IF(J410="","",VLOOKUP(D410,Dienste!C:W,6,)))</f>
        <v/>
      </c>
      <c r="V410" s="18" t="str">
        <f>IF(OR(J410="Krankenstand",J410="Urlaub"),"",IF(J410="","",VLOOKUP(D410,Dienste!C:W,7,)))</f>
        <v/>
      </c>
      <c r="W410" s="18" t="str">
        <f>IF(OR(J410="Krankenstand",J410="Urlaub"),"",IF(J410="","",VLOOKUP(D410,Dienste!C:W,11,)))</f>
        <v/>
      </c>
      <c r="X410" s="18" t="str">
        <f>IF(OR(J410="Krankenstand",J410="Urlaub"),"",IF(J410="","",VLOOKUP(D410,Dienste!C:W,12,)))</f>
        <v/>
      </c>
      <c r="Y410" s="19" t="str">
        <f>IF(OR(J410="Krankenstand",J410="Urlaub"),"",IF(J410="","",VLOOKUP(D410,Dienste!C:W,14,)))</f>
        <v/>
      </c>
      <c r="Z410" s="20" t="str">
        <f>IF(OR(J410="Krankenstand",J410="Urlaub"),"",IF(J410="","",VLOOKUP(D410,Dienste!C:W,15,)))</f>
        <v/>
      </c>
      <c r="AA410" s="124" t="str">
        <f t="shared" si="192"/>
        <v/>
      </c>
      <c r="AB410" s="19" t="str">
        <f t="shared" si="193"/>
        <v/>
      </c>
      <c r="AC410" s="126" t="str">
        <f>_xlfn.CONCAT(_xlfn.CONCAT(IF(I410="","",_xlfn.CONCAT("FT: ",I410,IF(J410="","","; "))),IF(B410&lt;Datenblatt!$B$9,"",IF(B410="","",IF(NOT(J410=""),SUBSTITUTE(SUBSTITUTE(SUBSTITUTE(J410," mR","")," oR","")," O",""),"")))),IF(AF410="","",_xlfn.CONCAT(CHAR(10),"; ",AF410)))</f>
        <v/>
      </c>
      <c r="AD410" s="124" t="str">
        <f t="shared" si="202"/>
        <v/>
      </c>
      <c r="AE410" s="19">
        <f t="shared" si="194"/>
        <v>0</v>
      </c>
      <c r="AF410" s="156"/>
    </row>
    <row r="411" spans="2:32" s="9" customFormat="1" ht="13">
      <c r="B411" s="6">
        <f t="shared" si="195"/>
        <v>44883</v>
      </c>
      <c r="C411" s="45">
        <f>SMALL(Daten!W:W,COUNTIF(Daten!W:W,"&lt;"&amp;Stundenaufzeichnung!B411+1))</f>
        <v>44578</v>
      </c>
      <c r="D411" s="45" t="str">
        <f t="shared" si="190"/>
        <v/>
      </c>
      <c r="E411" s="8">
        <f t="shared" si="191"/>
        <v>7</v>
      </c>
      <c r="F411" s="8">
        <f t="shared" si="196"/>
        <v>5</v>
      </c>
      <c r="G411" s="8">
        <f>IF(B411="","",VLOOKUP(E411,Datenblatt!$L$2:$N$8,3,FALSE))</f>
        <v>0</v>
      </c>
      <c r="H411" s="8" t="str">
        <f t="shared" si="197"/>
        <v/>
      </c>
      <c r="I411" s="11" t="str">
        <f>IFERROR(VLOOKUP(B411,Datenblatt!$E:$F,2,FALSE),"")</f>
        <v/>
      </c>
      <c r="J411" s="113"/>
      <c r="K411" s="19">
        <f>IF(B411&lt;Datenblatt!$B$9,"",IF(B411="","",IF(G411=0,Datenblatt!$B$7,"")))</f>
        <v>6.67</v>
      </c>
      <c r="L411" s="19" t="str">
        <f t="shared" si="198"/>
        <v/>
      </c>
      <c r="M411" s="124" t="str">
        <f t="shared" si="199"/>
        <v/>
      </c>
      <c r="N411" s="124" t="str">
        <f>IF(AND(L411=Datenblatt!$B$7,NOT(L410=Datenblatt!$B$7),NOT(L412=Datenblatt!$B$7)),"y",IF(AND(L411=Datenblatt!$B$7,L412=Datenblatt!$B$7,NOT(L410=Datenblatt!$B$7)),"a",IF(AND(L411=Datenblatt!$B$7,L410=Datenblatt!$B$7,NOT(L412=Datenblatt!$B$7)),"b","")))</f>
        <v/>
      </c>
      <c r="O411" s="19" t="str">
        <f t="shared" si="200"/>
        <v/>
      </c>
      <c r="P411" s="124" t="str">
        <f>IF(AND(M411=Datenblatt!$B$7,NOT(M410=Datenblatt!$B$7),NOT(M412=Datenblatt!$B$7)),"y",IF(AND(M411=Datenblatt!$B$7,M412=Datenblatt!$B$7,NOT(M410=Datenblatt!$B$7)),"a",IF(AND(M411=Datenblatt!$B$7,M410=Datenblatt!$B$7,NOT(M412=Datenblatt!$B$7)),"b","")))</f>
        <v/>
      </c>
      <c r="Q411" s="19" t="str">
        <f t="shared" si="201"/>
        <v/>
      </c>
      <c r="R411" s="124" t="str">
        <f>IF(I411="","",IF(AND(OR(J411="Krankenstand",J411="Urlaub",J411=""), AND(G411=0,NOT(I411=""))),Datenblatt!$B$7,""))</f>
        <v/>
      </c>
      <c r="S411" s="19" t="str">
        <f>IF(OR(J411="Krankenstand",J411="Urlaub"),"",IF(J411="","",VLOOKUP(D411,Dienste!C:W,21,)))</f>
        <v/>
      </c>
      <c r="T411" s="18" t="str">
        <f>IF(OR(J411="Krankenstand",J411="Urlaub"),"",IF(J411="","",VLOOKUP(D411,Dienste!C:W,5,)))</f>
        <v/>
      </c>
      <c r="U411" s="18" t="str">
        <f>IF(OR(J411="Krankenstand",J411="Urlaub"),"",IF(J411="","",VLOOKUP(D411,Dienste!C:W,6,)))</f>
        <v/>
      </c>
      <c r="V411" s="18" t="str">
        <f>IF(OR(J411="Krankenstand",J411="Urlaub"),"",IF(J411="","",VLOOKUP(D411,Dienste!C:W,7,)))</f>
        <v/>
      </c>
      <c r="W411" s="18" t="str">
        <f>IF(OR(J411="Krankenstand",J411="Urlaub"),"",IF(J411="","",VLOOKUP(D411,Dienste!C:W,11,)))</f>
        <v/>
      </c>
      <c r="X411" s="18" t="str">
        <f>IF(OR(J411="Krankenstand",J411="Urlaub"),"",IF(J411="","",VLOOKUP(D411,Dienste!C:W,12,)))</f>
        <v/>
      </c>
      <c r="Y411" s="19" t="str">
        <f>IF(OR(J411="Krankenstand",J411="Urlaub"),"",IF(J411="","",VLOOKUP(D411,Dienste!C:W,14,)))</f>
        <v/>
      </c>
      <c r="Z411" s="20" t="str">
        <f>IF(OR(J411="Krankenstand",J411="Urlaub"),"",IF(J411="","",VLOOKUP(D411,Dienste!C:W,15,)))</f>
        <v/>
      </c>
      <c r="AA411" s="124" t="str">
        <f t="shared" si="192"/>
        <v/>
      </c>
      <c r="AB411" s="19" t="str">
        <f t="shared" si="193"/>
        <v/>
      </c>
      <c r="AC411" s="126" t="str">
        <f>_xlfn.CONCAT(_xlfn.CONCAT(IF(I411="","",_xlfn.CONCAT("FT: ",I411,IF(J411="","","; "))),IF(B411&lt;Datenblatt!$B$9,"",IF(B411="","",IF(NOT(J411=""),SUBSTITUTE(SUBSTITUTE(SUBSTITUTE(J411," mR","")," oR","")," O",""),"")))),IF(AF411="","",_xlfn.CONCAT(CHAR(10),"; ",AF411)))</f>
        <v/>
      </c>
      <c r="AD411" s="124" t="str">
        <f t="shared" si="202"/>
        <v/>
      </c>
      <c r="AE411" s="19">
        <f t="shared" si="194"/>
        <v>0</v>
      </c>
      <c r="AF411" s="156"/>
    </row>
    <row r="412" spans="2:32" s="9" customFormat="1" ht="13">
      <c r="B412" s="6">
        <f t="shared" si="195"/>
        <v>44884</v>
      </c>
      <c r="C412" s="45">
        <f>SMALL(Daten!W:W,COUNTIF(Daten!W:W,"&lt;"&amp;Stundenaufzeichnung!B412+1))</f>
        <v>44578</v>
      </c>
      <c r="D412" s="45" t="str">
        <f t="shared" si="190"/>
        <v/>
      </c>
      <c r="E412" s="8">
        <f t="shared" si="191"/>
        <v>1</v>
      </c>
      <c r="F412" s="8">
        <f t="shared" si="196"/>
        <v>6</v>
      </c>
      <c r="G412" s="8">
        <f>IF(B412="","",VLOOKUP(E412,Datenblatt!$L$2:$N$8,3,FALSE))</f>
        <v>0</v>
      </c>
      <c r="H412" s="8" t="str">
        <f t="shared" si="197"/>
        <v/>
      </c>
      <c r="I412" s="11" t="str">
        <f>IFERROR(VLOOKUP(B412,Datenblatt!$E:$F,2,FALSE),"")</f>
        <v/>
      </c>
      <c r="J412" s="113"/>
      <c r="K412" s="19">
        <f>IF(B412&lt;Datenblatt!$B$9,"",IF(B412="","",IF(G412=0,Datenblatt!$B$7,"")))</f>
        <v>6.67</v>
      </c>
      <c r="L412" s="19" t="str">
        <f t="shared" si="198"/>
        <v/>
      </c>
      <c r="M412" s="124" t="str">
        <f t="shared" si="199"/>
        <v/>
      </c>
      <c r="N412" s="124" t="str">
        <f>IF(AND(L412=Datenblatt!$B$7,NOT(L411=Datenblatt!$B$7),NOT(L413=Datenblatt!$B$7)),"y",IF(AND(L412=Datenblatt!$B$7,L413=Datenblatt!$B$7,NOT(L411=Datenblatt!$B$7)),"a",IF(AND(L412=Datenblatt!$B$7,L411=Datenblatt!$B$7,NOT(L413=Datenblatt!$B$7)),"b","")))</f>
        <v/>
      </c>
      <c r="O412" s="19" t="str">
        <f t="shared" si="200"/>
        <v/>
      </c>
      <c r="P412" s="124" t="str">
        <f>IF(AND(M412=Datenblatt!$B$7,NOT(M411=Datenblatt!$B$7),NOT(M413=Datenblatt!$B$7)),"y",IF(AND(M412=Datenblatt!$B$7,M413=Datenblatt!$B$7,NOT(M411=Datenblatt!$B$7)),"a",IF(AND(M412=Datenblatt!$B$7,M411=Datenblatt!$B$7,NOT(M413=Datenblatt!$B$7)),"b","")))</f>
        <v/>
      </c>
      <c r="Q412" s="19" t="str">
        <f t="shared" si="201"/>
        <v/>
      </c>
      <c r="R412" s="124" t="str">
        <f>IF(I412="","",IF(AND(OR(J412="Krankenstand",J412="Urlaub",J412=""), AND(G412=0,NOT(I412=""))),Datenblatt!$B$7,""))</f>
        <v/>
      </c>
      <c r="S412" s="19" t="str">
        <f>IF(OR(J412="Krankenstand",J412="Urlaub"),"",IF(J412="","",VLOOKUP(D412,Dienste!C:W,21,)))</f>
        <v/>
      </c>
      <c r="T412" s="18" t="str">
        <f>IF(OR(J412="Krankenstand",J412="Urlaub"),"",IF(J412="","",VLOOKUP(D412,Dienste!C:W,5,)))</f>
        <v/>
      </c>
      <c r="U412" s="18" t="str">
        <f>IF(OR(J412="Krankenstand",J412="Urlaub"),"",IF(J412="","",VLOOKUP(D412,Dienste!C:W,6,)))</f>
        <v/>
      </c>
      <c r="V412" s="18" t="str">
        <f>IF(OR(J412="Krankenstand",J412="Urlaub"),"",IF(J412="","",VLOOKUP(D412,Dienste!C:W,7,)))</f>
        <v/>
      </c>
      <c r="W412" s="18" t="str">
        <f>IF(OR(J412="Krankenstand",J412="Urlaub"),"",IF(J412="","",VLOOKUP(D412,Dienste!C:W,11,)))</f>
        <v/>
      </c>
      <c r="X412" s="18" t="str">
        <f>IF(OR(J412="Krankenstand",J412="Urlaub"),"",IF(J412="","",VLOOKUP(D412,Dienste!C:W,12,)))</f>
        <v/>
      </c>
      <c r="Y412" s="19" t="str">
        <f>IF(OR(J412="Krankenstand",J412="Urlaub"),"",IF(J412="","",VLOOKUP(D412,Dienste!C:W,14,)))</f>
        <v/>
      </c>
      <c r="Z412" s="20" t="str">
        <f>IF(OR(J412="Krankenstand",J412="Urlaub"),"",IF(J412="","",VLOOKUP(D412,Dienste!C:W,15,)))</f>
        <v/>
      </c>
      <c r="AA412" s="124" t="str">
        <f t="shared" si="192"/>
        <v/>
      </c>
      <c r="AB412" s="19" t="str">
        <f t="shared" si="193"/>
        <v/>
      </c>
      <c r="AC412" s="126" t="str">
        <f>_xlfn.CONCAT(_xlfn.CONCAT(IF(I412="","",_xlfn.CONCAT("FT: ",I412,IF(J412="","","; "))),IF(B412&lt;Datenblatt!$B$9,"",IF(B412="","",IF(NOT(J412=""),SUBSTITUTE(SUBSTITUTE(SUBSTITUTE(J412," mR","")," oR","")," O",""),"")))),IF(AF412="","",_xlfn.CONCAT(CHAR(10),"; ",AF412)))</f>
        <v/>
      </c>
      <c r="AD412" s="124" t="str">
        <f t="shared" si="202"/>
        <v/>
      </c>
      <c r="AE412" s="19">
        <f t="shared" si="194"/>
        <v>0</v>
      </c>
      <c r="AF412" s="156"/>
    </row>
    <row r="413" spans="2:32" s="9" customFormat="1" ht="13">
      <c r="B413" s="6">
        <f t="shared" si="195"/>
        <v>44885</v>
      </c>
      <c r="C413" s="45">
        <f>SMALL(Daten!W:W,COUNTIF(Daten!W:W,"&lt;"&amp;Stundenaufzeichnung!B413+1))</f>
        <v>44578</v>
      </c>
      <c r="D413" s="45" t="str">
        <f t="shared" si="190"/>
        <v/>
      </c>
      <c r="E413" s="8">
        <f t="shared" si="191"/>
        <v>2</v>
      </c>
      <c r="F413" s="8">
        <f t="shared" si="196"/>
        <v>7</v>
      </c>
      <c r="G413" s="8">
        <f>IF(B413="","",VLOOKUP(E413,Datenblatt!$L$2:$N$8,3,FALSE))</f>
        <v>1</v>
      </c>
      <c r="H413" s="8" t="str">
        <f t="shared" si="197"/>
        <v>x</v>
      </c>
      <c r="I413" s="11" t="str">
        <f>IFERROR(VLOOKUP(B413,Datenblatt!$E:$F,2,FALSE),"")</f>
        <v/>
      </c>
      <c r="J413" s="113"/>
      <c r="K413" s="19" t="str">
        <f>IF(B413&lt;Datenblatt!$B$9,"",IF(B413="","",IF(G413=0,Datenblatt!$B$7,"")))</f>
        <v/>
      </c>
      <c r="L413" s="19" t="str">
        <f t="shared" si="198"/>
        <v/>
      </c>
      <c r="M413" s="124" t="str">
        <f t="shared" si="199"/>
        <v/>
      </c>
      <c r="N413" s="124" t="str">
        <f>IF(AND(L413=Datenblatt!$B$7,NOT(L412=Datenblatt!$B$7),NOT(L414=Datenblatt!$B$7)),"y",IF(AND(L413=Datenblatt!$B$7,L414=Datenblatt!$B$7,NOT(L412=Datenblatt!$B$7)),"a",IF(AND(L413=Datenblatt!$B$7,L412=Datenblatt!$B$7,NOT(L414=Datenblatt!$B$7)),"b","")))</f>
        <v/>
      </c>
      <c r="O413" s="19" t="str">
        <f t="shared" si="200"/>
        <v/>
      </c>
      <c r="P413" s="124" t="str">
        <f>IF(AND(M413=Datenblatt!$B$7,NOT(M412=Datenblatt!$B$7),NOT(M414=Datenblatt!$B$7)),"y",IF(AND(M413=Datenblatt!$B$7,M414=Datenblatt!$B$7,NOT(M412=Datenblatt!$B$7)),"a",IF(AND(M413=Datenblatt!$B$7,M412=Datenblatt!$B$7,NOT(M414=Datenblatt!$B$7)),"b","")))</f>
        <v/>
      </c>
      <c r="Q413" s="19" t="str">
        <f t="shared" si="201"/>
        <v/>
      </c>
      <c r="R413" s="124" t="str">
        <f>IF(I413="","",IF(AND(OR(J413="Krankenstand",J413="Urlaub",J413=""), AND(G413=0,NOT(I413=""))),Datenblatt!$B$7,""))</f>
        <v/>
      </c>
      <c r="S413" s="19" t="str">
        <f>IF(OR(J413="Krankenstand",J413="Urlaub"),"",IF(J413="","",VLOOKUP(D413,Dienste!C:W,21,)))</f>
        <v/>
      </c>
      <c r="T413" s="18" t="str">
        <f>IF(OR(J413="Krankenstand",J413="Urlaub"),"",IF(J413="","",VLOOKUP(D413,Dienste!C:W,5,)))</f>
        <v/>
      </c>
      <c r="U413" s="18" t="str">
        <f>IF(OR(J413="Krankenstand",J413="Urlaub"),"",IF(J413="","",VLOOKUP(D413,Dienste!C:W,6,)))</f>
        <v/>
      </c>
      <c r="V413" s="18" t="str">
        <f>IF(OR(J413="Krankenstand",J413="Urlaub"),"",IF(J413="","",VLOOKUP(D413,Dienste!C:W,7,)))</f>
        <v/>
      </c>
      <c r="W413" s="18" t="str">
        <f>IF(OR(J413="Krankenstand",J413="Urlaub"),"",IF(J413="","",VLOOKUP(D413,Dienste!C:W,11,)))</f>
        <v/>
      </c>
      <c r="X413" s="18" t="str">
        <f>IF(OR(J413="Krankenstand",J413="Urlaub"),"",IF(J413="","",VLOOKUP(D413,Dienste!C:W,12,)))</f>
        <v/>
      </c>
      <c r="Y413" s="19" t="str">
        <f>IF(OR(J413="Krankenstand",J413="Urlaub"),"",IF(J413="","",VLOOKUP(D413,Dienste!C:W,14,)))</f>
        <v/>
      </c>
      <c r="Z413" s="20" t="str">
        <f>IF(OR(J413="Krankenstand",J413="Urlaub"),"",IF(J413="","",VLOOKUP(D413,Dienste!C:W,15,)))</f>
        <v/>
      </c>
      <c r="AA413" s="124" t="str">
        <f t="shared" si="192"/>
        <v/>
      </c>
      <c r="AB413" s="19" t="str">
        <f t="shared" si="193"/>
        <v/>
      </c>
      <c r="AC413" s="126" t="str">
        <f>_xlfn.CONCAT(_xlfn.CONCAT(IF(I413="","",_xlfn.CONCAT("FT: ",I413,IF(J413="","","; "))),IF(B413&lt;Datenblatt!$B$9,"",IF(B413="","",IF(NOT(J413=""),SUBSTITUTE(SUBSTITUTE(SUBSTITUTE(J413," mR","")," oR","")," O",""),"")))),IF(AF413="","",_xlfn.CONCAT(CHAR(10),"; ",AF413)))</f>
        <v/>
      </c>
      <c r="AD413" s="124" t="str">
        <f t="shared" si="202"/>
        <v/>
      </c>
      <c r="AE413" s="19">
        <f t="shared" si="194"/>
        <v>0</v>
      </c>
      <c r="AF413" s="156"/>
    </row>
    <row r="414" spans="2:32" s="9" customFormat="1" ht="13">
      <c r="B414" s="6">
        <f t="shared" si="195"/>
        <v>44886</v>
      </c>
      <c r="C414" s="45">
        <f>SMALL(Daten!W:W,COUNTIF(Daten!W:W,"&lt;"&amp;Stundenaufzeichnung!B414+1))</f>
        <v>44578</v>
      </c>
      <c r="D414" s="45" t="str">
        <f t="shared" si="190"/>
        <v/>
      </c>
      <c r="E414" s="8">
        <f t="shared" si="191"/>
        <v>3</v>
      </c>
      <c r="F414" s="8">
        <f t="shared" si="196"/>
        <v>1</v>
      </c>
      <c r="G414" s="8">
        <f>IF(B414="","",VLOOKUP(E414,Datenblatt!$L$2:$N$8,3,FALSE))</f>
        <v>0</v>
      </c>
      <c r="H414" s="8" t="str">
        <f t="shared" si="197"/>
        <v/>
      </c>
      <c r="I414" s="11" t="str">
        <f>IFERROR(VLOOKUP(B414,Datenblatt!$E:$F,2,FALSE),"")</f>
        <v/>
      </c>
      <c r="J414" s="113"/>
      <c r="K414" s="19">
        <f>IF(B414&lt;Datenblatt!$B$9,"",IF(B414="","",IF(G414=0,Datenblatt!$B$7,"")))</f>
        <v>6.67</v>
      </c>
      <c r="L414" s="19" t="str">
        <f t="shared" si="198"/>
        <v/>
      </c>
      <c r="M414" s="124" t="str">
        <f t="shared" si="199"/>
        <v/>
      </c>
      <c r="N414" s="124" t="str">
        <f>IF(AND(L414=Datenblatt!$B$7,NOT(L413=Datenblatt!$B$7),NOT(L415=Datenblatt!$B$7)),"y",IF(AND(L414=Datenblatt!$B$7,L415=Datenblatt!$B$7,NOT(L413=Datenblatt!$B$7)),"a",IF(AND(L414=Datenblatt!$B$7,L413=Datenblatt!$B$7,NOT(L415=Datenblatt!$B$7)),"b","")))</f>
        <v/>
      </c>
      <c r="O414" s="19" t="str">
        <f t="shared" si="200"/>
        <v/>
      </c>
      <c r="P414" s="124" t="str">
        <f>IF(AND(M414=Datenblatt!$B$7,NOT(M413=Datenblatt!$B$7),NOT(M415=Datenblatt!$B$7)),"y",IF(AND(M414=Datenblatt!$B$7,M415=Datenblatt!$B$7,NOT(M413=Datenblatt!$B$7)),"a",IF(AND(M414=Datenblatt!$B$7,M413=Datenblatt!$B$7,NOT(M415=Datenblatt!$B$7)),"b","")))</f>
        <v/>
      </c>
      <c r="Q414" s="19" t="str">
        <f t="shared" si="201"/>
        <v/>
      </c>
      <c r="R414" s="124" t="str">
        <f>IF(I414="","",IF(AND(OR(J414="Krankenstand",J414="Urlaub",J414=""), AND(G414=0,NOT(I414=""))),Datenblatt!$B$7,""))</f>
        <v/>
      </c>
      <c r="S414" s="19" t="str">
        <f>IF(OR(J414="Krankenstand",J414="Urlaub"),"",IF(J414="","",VLOOKUP(D414,Dienste!C:W,21,)))</f>
        <v/>
      </c>
      <c r="T414" s="18" t="str">
        <f>IF(OR(J414="Krankenstand",J414="Urlaub"),"",IF(J414="","",VLOOKUP(D414,Dienste!C:W,5,)))</f>
        <v/>
      </c>
      <c r="U414" s="18" t="str">
        <f>IF(OR(J414="Krankenstand",J414="Urlaub"),"",IF(J414="","",VLOOKUP(D414,Dienste!C:W,6,)))</f>
        <v/>
      </c>
      <c r="V414" s="18" t="str">
        <f>IF(OR(J414="Krankenstand",J414="Urlaub"),"",IF(J414="","",VLOOKUP(D414,Dienste!C:W,7,)))</f>
        <v/>
      </c>
      <c r="W414" s="18" t="str">
        <f>IF(OR(J414="Krankenstand",J414="Urlaub"),"",IF(J414="","",VLOOKUP(D414,Dienste!C:W,11,)))</f>
        <v/>
      </c>
      <c r="X414" s="18" t="str">
        <f>IF(OR(J414="Krankenstand",J414="Urlaub"),"",IF(J414="","",VLOOKUP(D414,Dienste!C:W,12,)))</f>
        <v/>
      </c>
      <c r="Y414" s="19" t="str">
        <f>IF(OR(J414="Krankenstand",J414="Urlaub"),"",IF(J414="","",VLOOKUP(D414,Dienste!C:W,14,)))</f>
        <v/>
      </c>
      <c r="Z414" s="20" t="str">
        <f>IF(OR(J414="Krankenstand",J414="Urlaub"),"",IF(J414="","",VLOOKUP(D414,Dienste!C:W,15,)))</f>
        <v/>
      </c>
      <c r="AA414" s="124" t="str">
        <f t="shared" si="192"/>
        <v/>
      </c>
      <c r="AB414" s="19" t="str">
        <f t="shared" si="193"/>
        <v/>
      </c>
      <c r="AC414" s="126" t="str">
        <f>_xlfn.CONCAT(_xlfn.CONCAT(IF(I414="","",_xlfn.CONCAT("FT: ",I414,IF(J414="","","; "))),IF(B414&lt;Datenblatt!$B$9,"",IF(B414="","",IF(NOT(J414=""),SUBSTITUTE(SUBSTITUTE(SUBSTITUTE(J414," mR","")," oR","")," O",""),"")))),IF(AF414="","",_xlfn.CONCAT(CHAR(10),"; ",AF414)))</f>
        <v/>
      </c>
      <c r="AD414" s="124" t="str">
        <f t="shared" si="202"/>
        <v/>
      </c>
      <c r="AE414" s="19">
        <f t="shared" si="194"/>
        <v>0</v>
      </c>
      <c r="AF414" s="156"/>
    </row>
    <row r="415" spans="2:32" s="9" customFormat="1" ht="13">
      <c r="B415" s="6">
        <f t="shared" si="195"/>
        <v>44887</v>
      </c>
      <c r="C415" s="45">
        <f>SMALL(Daten!W:W,COUNTIF(Daten!W:W,"&lt;"&amp;Stundenaufzeichnung!B415+1))</f>
        <v>44578</v>
      </c>
      <c r="D415" s="45" t="str">
        <f t="shared" si="190"/>
        <v/>
      </c>
      <c r="E415" s="8">
        <f t="shared" si="191"/>
        <v>4</v>
      </c>
      <c r="F415" s="8">
        <f t="shared" si="196"/>
        <v>2</v>
      </c>
      <c r="G415" s="8">
        <f>IF(B415="","",VLOOKUP(E415,Datenblatt!$L$2:$N$8,3,FALSE))</f>
        <v>0</v>
      </c>
      <c r="H415" s="8" t="str">
        <f t="shared" si="197"/>
        <v/>
      </c>
      <c r="I415" s="11" t="str">
        <f>IFERROR(VLOOKUP(B415,Datenblatt!$E:$F,2,FALSE),"")</f>
        <v/>
      </c>
      <c r="J415" s="113"/>
      <c r="K415" s="19">
        <f>IF(B415&lt;Datenblatt!$B$9,"",IF(B415="","",IF(G415=0,Datenblatt!$B$7,"")))</f>
        <v>6.67</v>
      </c>
      <c r="L415" s="19" t="str">
        <f t="shared" si="198"/>
        <v/>
      </c>
      <c r="M415" s="124" t="str">
        <f t="shared" si="199"/>
        <v/>
      </c>
      <c r="N415" s="124" t="str">
        <f>IF(AND(L415=Datenblatt!$B$7,NOT(L414=Datenblatt!$B$7),NOT(L416=Datenblatt!$B$7)),"y",IF(AND(L415=Datenblatt!$B$7,L416=Datenblatt!$B$7,NOT(L414=Datenblatt!$B$7)),"a",IF(AND(L415=Datenblatt!$B$7,L414=Datenblatt!$B$7,NOT(L416=Datenblatt!$B$7)),"b","")))</f>
        <v/>
      </c>
      <c r="O415" s="19" t="str">
        <f t="shared" si="200"/>
        <v/>
      </c>
      <c r="P415" s="124" t="str">
        <f>IF(AND(M415=Datenblatt!$B$7,NOT(M414=Datenblatt!$B$7),NOT(M416=Datenblatt!$B$7)),"y",IF(AND(M415=Datenblatt!$B$7,M416=Datenblatt!$B$7,NOT(M414=Datenblatt!$B$7)),"a",IF(AND(M415=Datenblatt!$B$7,M414=Datenblatt!$B$7,NOT(M416=Datenblatt!$B$7)),"b","")))</f>
        <v/>
      </c>
      <c r="Q415" s="19" t="str">
        <f t="shared" si="201"/>
        <v/>
      </c>
      <c r="R415" s="124" t="str">
        <f>IF(I415="","",IF(AND(OR(J415="Krankenstand",J415="Urlaub",J415=""), AND(G415=0,NOT(I415=""))),Datenblatt!$B$7,""))</f>
        <v/>
      </c>
      <c r="S415" s="19" t="str">
        <f>IF(OR(J415="Krankenstand",J415="Urlaub"),"",IF(J415="","",VLOOKUP(D415,Dienste!C:W,21,)))</f>
        <v/>
      </c>
      <c r="T415" s="18" t="str">
        <f>IF(OR(J415="Krankenstand",J415="Urlaub"),"",IF(J415="","",VLOOKUP(D415,Dienste!C:W,5,)))</f>
        <v/>
      </c>
      <c r="U415" s="18" t="str">
        <f>IF(OR(J415="Krankenstand",J415="Urlaub"),"",IF(J415="","",VLOOKUP(D415,Dienste!C:W,6,)))</f>
        <v/>
      </c>
      <c r="V415" s="18" t="str">
        <f>IF(OR(J415="Krankenstand",J415="Urlaub"),"",IF(J415="","",VLOOKUP(D415,Dienste!C:W,7,)))</f>
        <v/>
      </c>
      <c r="W415" s="18" t="str">
        <f>IF(OR(J415="Krankenstand",J415="Urlaub"),"",IF(J415="","",VLOOKUP(D415,Dienste!C:W,11,)))</f>
        <v/>
      </c>
      <c r="X415" s="18" t="str">
        <f>IF(OR(J415="Krankenstand",J415="Urlaub"),"",IF(J415="","",VLOOKUP(D415,Dienste!C:W,12,)))</f>
        <v/>
      </c>
      <c r="Y415" s="19" t="str">
        <f>IF(OR(J415="Krankenstand",J415="Urlaub"),"",IF(J415="","",VLOOKUP(D415,Dienste!C:W,14,)))</f>
        <v/>
      </c>
      <c r="Z415" s="20" t="str">
        <f>IF(OR(J415="Krankenstand",J415="Urlaub"),"",IF(J415="","",VLOOKUP(D415,Dienste!C:W,15,)))</f>
        <v/>
      </c>
      <c r="AA415" s="124" t="str">
        <f t="shared" si="192"/>
        <v/>
      </c>
      <c r="AB415" s="19" t="str">
        <f t="shared" si="193"/>
        <v/>
      </c>
      <c r="AC415" s="126" t="str">
        <f>_xlfn.CONCAT(_xlfn.CONCAT(IF(I415="","",_xlfn.CONCAT("FT: ",I415,IF(J415="","","; "))),IF(B415&lt;Datenblatt!$B$9,"",IF(B415="","",IF(NOT(J415=""),SUBSTITUTE(SUBSTITUTE(SUBSTITUTE(J415," mR","")," oR","")," O",""),"")))),IF(AF415="","",_xlfn.CONCAT(CHAR(10),"; ",AF415)))</f>
        <v/>
      </c>
      <c r="AD415" s="124" t="str">
        <f t="shared" si="202"/>
        <v/>
      </c>
      <c r="AE415" s="19">
        <f t="shared" si="194"/>
        <v>0</v>
      </c>
      <c r="AF415" s="156"/>
    </row>
    <row r="416" spans="2:32" s="9" customFormat="1" ht="13">
      <c r="B416" s="6">
        <f t="shared" si="195"/>
        <v>44888</v>
      </c>
      <c r="C416" s="45">
        <f>SMALL(Daten!W:W,COUNTIF(Daten!W:W,"&lt;"&amp;Stundenaufzeichnung!B416+1))</f>
        <v>44578</v>
      </c>
      <c r="D416" s="45" t="str">
        <f t="shared" si="190"/>
        <v/>
      </c>
      <c r="E416" s="8">
        <f t="shared" si="191"/>
        <v>5</v>
      </c>
      <c r="F416" s="8">
        <f t="shared" si="196"/>
        <v>3</v>
      </c>
      <c r="G416" s="8">
        <f>IF(B416="","",VLOOKUP(E416,Datenblatt!$L$2:$N$8,3,FALSE))</f>
        <v>0</v>
      </c>
      <c r="H416" s="8" t="str">
        <f t="shared" si="197"/>
        <v/>
      </c>
      <c r="I416" s="11" t="str">
        <f>IFERROR(VLOOKUP(B416,Datenblatt!$E:$F,2,FALSE),"")</f>
        <v/>
      </c>
      <c r="J416" s="113"/>
      <c r="K416" s="19">
        <f>IF(B416&lt;Datenblatt!$B$9,"",IF(B416="","",IF(G416=0,Datenblatt!$B$7,"")))</f>
        <v>6.67</v>
      </c>
      <c r="L416" s="19" t="str">
        <f t="shared" si="198"/>
        <v/>
      </c>
      <c r="M416" s="124" t="str">
        <f t="shared" si="199"/>
        <v/>
      </c>
      <c r="N416" s="124" t="str">
        <f>IF(AND(L416=Datenblatt!$B$7,NOT(L415=Datenblatt!$B$7),NOT(L417=Datenblatt!$B$7)),"y",IF(AND(L416=Datenblatt!$B$7,L417=Datenblatt!$B$7,NOT(L415=Datenblatt!$B$7)),"a",IF(AND(L416=Datenblatt!$B$7,L415=Datenblatt!$B$7,NOT(L417=Datenblatt!$B$7)),"b","")))</f>
        <v/>
      </c>
      <c r="O416" s="19" t="str">
        <f t="shared" si="200"/>
        <v/>
      </c>
      <c r="P416" s="124" t="str">
        <f>IF(AND(M416=Datenblatt!$B$7,NOT(M415=Datenblatt!$B$7),NOT(M417=Datenblatt!$B$7)),"y",IF(AND(M416=Datenblatt!$B$7,M417=Datenblatt!$B$7,NOT(M415=Datenblatt!$B$7)),"a",IF(AND(M416=Datenblatt!$B$7,M415=Datenblatt!$B$7,NOT(M417=Datenblatt!$B$7)),"b","")))</f>
        <v/>
      </c>
      <c r="Q416" s="19" t="str">
        <f t="shared" si="201"/>
        <v/>
      </c>
      <c r="R416" s="124" t="str">
        <f>IF(I416="","",IF(AND(OR(J416="Krankenstand",J416="Urlaub",J416=""), AND(G416=0,NOT(I416=""))),Datenblatt!$B$7,""))</f>
        <v/>
      </c>
      <c r="S416" s="19" t="str">
        <f>IF(OR(J416="Krankenstand",J416="Urlaub"),"",IF(J416="","",VLOOKUP(D416,Dienste!C:W,21,)))</f>
        <v/>
      </c>
      <c r="T416" s="18" t="str">
        <f>IF(OR(J416="Krankenstand",J416="Urlaub"),"",IF(J416="","",VLOOKUP(D416,Dienste!C:W,5,)))</f>
        <v/>
      </c>
      <c r="U416" s="18" t="str">
        <f>IF(OR(J416="Krankenstand",J416="Urlaub"),"",IF(J416="","",VLOOKUP(D416,Dienste!C:W,6,)))</f>
        <v/>
      </c>
      <c r="V416" s="18" t="str">
        <f>IF(OR(J416="Krankenstand",J416="Urlaub"),"",IF(J416="","",VLOOKUP(D416,Dienste!C:W,7,)))</f>
        <v/>
      </c>
      <c r="W416" s="18" t="str">
        <f>IF(OR(J416="Krankenstand",J416="Urlaub"),"",IF(J416="","",VLOOKUP(D416,Dienste!C:W,11,)))</f>
        <v/>
      </c>
      <c r="X416" s="18" t="str">
        <f>IF(OR(J416="Krankenstand",J416="Urlaub"),"",IF(J416="","",VLOOKUP(D416,Dienste!C:W,12,)))</f>
        <v/>
      </c>
      <c r="Y416" s="19" t="str">
        <f>IF(OR(J416="Krankenstand",J416="Urlaub"),"",IF(J416="","",VLOOKUP(D416,Dienste!C:W,14,)))</f>
        <v/>
      </c>
      <c r="Z416" s="20" t="str">
        <f>IF(OR(J416="Krankenstand",J416="Urlaub"),"",IF(J416="","",VLOOKUP(D416,Dienste!C:W,15,)))</f>
        <v/>
      </c>
      <c r="AA416" s="124" t="str">
        <f t="shared" si="192"/>
        <v/>
      </c>
      <c r="AB416" s="19" t="str">
        <f t="shared" si="193"/>
        <v/>
      </c>
      <c r="AC416" s="126" t="str">
        <f>_xlfn.CONCAT(_xlfn.CONCAT(IF(I416="","",_xlfn.CONCAT("FT: ",I416,IF(J416="","","; "))),IF(B416&lt;Datenblatt!$B$9,"",IF(B416="","",IF(NOT(J416=""),SUBSTITUTE(SUBSTITUTE(SUBSTITUTE(J416," mR","")," oR","")," O",""),"")))),IF(AF416="","",_xlfn.CONCAT(CHAR(10),"; ",AF416)))</f>
        <v/>
      </c>
      <c r="AD416" s="124" t="str">
        <f t="shared" si="202"/>
        <v/>
      </c>
      <c r="AE416" s="19">
        <f t="shared" si="194"/>
        <v>0</v>
      </c>
      <c r="AF416" s="156"/>
    </row>
    <row r="417" spans="1:32" s="9" customFormat="1" ht="13">
      <c r="B417" s="6">
        <f t="shared" si="195"/>
        <v>44889</v>
      </c>
      <c r="C417" s="45">
        <f>SMALL(Daten!W:W,COUNTIF(Daten!W:W,"&lt;"&amp;Stundenaufzeichnung!B417+1))</f>
        <v>44578</v>
      </c>
      <c r="D417" s="45" t="str">
        <f t="shared" si="190"/>
        <v/>
      </c>
      <c r="E417" s="8">
        <f t="shared" si="191"/>
        <v>6</v>
      </c>
      <c r="F417" s="8">
        <f t="shared" si="196"/>
        <v>4</v>
      </c>
      <c r="G417" s="8">
        <f>IF(B417="","",VLOOKUP(E417,Datenblatt!$L$2:$N$8,3,FALSE))</f>
        <v>0</v>
      </c>
      <c r="H417" s="8" t="str">
        <f t="shared" si="197"/>
        <v/>
      </c>
      <c r="I417" s="11" t="str">
        <f>IFERROR(VLOOKUP(B417,Datenblatt!$E:$F,2,FALSE),"")</f>
        <v/>
      </c>
      <c r="J417" s="113"/>
      <c r="K417" s="19">
        <f>IF(B417&lt;Datenblatt!$B$9,"",IF(B417="","",IF(G417=0,Datenblatt!$B$7,"")))</f>
        <v>6.67</v>
      </c>
      <c r="L417" s="19" t="str">
        <f t="shared" si="198"/>
        <v/>
      </c>
      <c r="M417" s="124" t="str">
        <f t="shared" si="199"/>
        <v/>
      </c>
      <c r="N417" s="124" t="str">
        <f>IF(AND(L417=Datenblatt!$B$7,NOT(L416=Datenblatt!$B$7),NOT(L418=Datenblatt!$B$7)),"y",IF(AND(L417=Datenblatt!$B$7,L418=Datenblatt!$B$7,NOT(L416=Datenblatt!$B$7)),"a",IF(AND(L417=Datenblatt!$B$7,L416=Datenblatt!$B$7,NOT(L418=Datenblatt!$B$7)),"b","")))</f>
        <v/>
      </c>
      <c r="O417" s="19" t="str">
        <f t="shared" si="200"/>
        <v/>
      </c>
      <c r="P417" s="124" t="str">
        <f>IF(AND(M417=Datenblatt!$B$7,NOT(M416=Datenblatt!$B$7),NOT(M418=Datenblatt!$B$7)),"y",IF(AND(M417=Datenblatt!$B$7,M418=Datenblatt!$B$7,NOT(M416=Datenblatt!$B$7)),"a",IF(AND(M417=Datenblatt!$B$7,M416=Datenblatt!$B$7,NOT(M418=Datenblatt!$B$7)),"b","")))</f>
        <v/>
      </c>
      <c r="Q417" s="19" t="str">
        <f t="shared" si="201"/>
        <v/>
      </c>
      <c r="R417" s="124" t="str">
        <f>IF(I417="","",IF(AND(OR(J417="Krankenstand",J417="Urlaub",J417=""), AND(G417=0,NOT(I417=""))),Datenblatt!$B$7,""))</f>
        <v/>
      </c>
      <c r="S417" s="19" t="str">
        <f>IF(OR(J417="Krankenstand",J417="Urlaub"),"",IF(J417="","",VLOOKUP(D417,Dienste!C:W,21,)))</f>
        <v/>
      </c>
      <c r="T417" s="18" t="str">
        <f>IF(OR(J417="Krankenstand",J417="Urlaub"),"",IF(J417="","",VLOOKUP(D417,Dienste!C:W,5,)))</f>
        <v/>
      </c>
      <c r="U417" s="18" t="str">
        <f>IF(OR(J417="Krankenstand",J417="Urlaub"),"",IF(J417="","",VLOOKUP(D417,Dienste!C:W,6,)))</f>
        <v/>
      </c>
      <c r="V417" s="18" t="str">
        <f>IF(OR(J417="Krankenstand",J417="Urlaub"),"",IF(J417="","",VLOOKUP(D417,Dienste!C:W,7,)))</f>
        <v/>
      </c>
      <c r="W417" s="18" t="str">
        <f>IF(OR(J417="Krankenstand",J417="Urlaub"),"",IF(J417="","",VLOOKUP(D417,Dienste!C:W,11,)))</f>
        <v/>
      </c>
      <c r="X417" s="18" t="str">
        <f>IF(OR(J417="Krankenstand",J417="Urlaub"),"",IF(J417="","",VLOOKUP(D417,Dienste!C:W,12,)))</f>
        <v/>
      </c>
      <c r="Y417" s="19" t="str">
        <f>IF(OR(J417="Krankenstand",J417="Urlaub"),"",IF(J417="","",VLOOKUP(D417,Dienste!C:W,14,)))</f>
        <v/>
      </c>
      <c r="Z417" s="20" t="str">
        <f>IF(OR(J417="Krankenstand",J417="Urlaub"),"",IF(J417="","",VLOOKUP(D417,Dienste!C:W,15,)))</f>
        <v/>
      </c>
      <c r="AA417" s="124" t="str">
        <f t="shared" si="192"/>
        <v/>
      </c>
      <c r="AB417" s="19" t="str">
        <f t="shared" si="193"/>
        <v/>
      </c>
      <c r="AC417" s="126" t="str">
        <f>_xlfn.CONCAT(_xlfn.CONCAT(IF(I417="","",_xlfn.CONCAT("FT: ",I417,IF(J417="","","; "))),IF(B417&lt;Datenblatt!$B$9,"",IF(B417="","",IF(NOT(J417=""),SUBSTITUTE(SUBSTITUTE(SUBSTITUTE(J417," mR","")," oR","")," O",""),"")))),IF(AF417="","",_xlfn.CONCAT(CHAR(10),"; ",AF417)))</f>
        <v/>
      </c>
      <c r="AD417" s="124" t="str">
        <f t="shared" si="202"/>
        <v/>
      </c>
      <c r="AE417" s="19">
        <f t="shared" si="194"/>
        <v>0</v>
      </c>
      <c r="AF417" s="156"/>
    </row>
    <row r="418" spans="1:32" s="9" customFormat="1" ht="13">
      <c r="B418" s="6">
        <f t="shared" si="195"/>
        <v>44890</v>
      </c>
      <c r="C418" s="45">
        <f>SMALL(Daten!W:W,COUNTIF(Daten!W:W,"&lt;"&amp;Stundenaufzeichnung!B418+1))</f>
        <v>44578</v>
      </c>
      <c r="D418" s="45" t="str">
        <f t="shared" si="190"/>
        <v/>
      </c>
      <c r="E418" s="8">
        <f t="shared" si="191"/>
        <v>7</v>
      </c>
      <c r="F418" s="8">
        <f t="shared" si="196"/>
        <v>5</v>
      </c>
      <c r="G418" s="8">
        <f>IF(B418="","",VLOOKUP(E418,Datenblatt!$L$2:$N$8,3,FALSE))</f>
        <v>0</v>
      </c>
      <c r="H418" s="8" t="str">
        <f t="shared" si="197"/>
        <v/>
      </c>
      <c r="I418" s="11" t="str">
        <f>IFERROR(VLOOKUP(B418,Datenblatt!$E:$F,2,FALSE),"")</f>
        <v/>
      </c>
      <c r="J418" s="113"/>
      <c r="K418" s="19">
        <f>IF(B418&lt;Datenblatt!$B$9,"",IF(B418="","",IF(G418=0,Datenblatt!$B$7,"")))</f>
        <v>6.67</v>
      </c>
      <c r="L418" s="19" t="str">
        <f t="shared" si="198"/>
        <v/>
      </c>
      <c r="M418" s="124" t="str">
        <f t="shared" si="199"/>
        <v/>
      </c>
      <c r="N418" s="124" t="str">
        <f>IF(AND(L418=Datenblatt!$B$7,NOT(L417=Datenblatt!$B$7),NOT(L419=Datenblatt!$B$7)),"y",IF(AND(L418=Datenblatt!$B$7,L419=Datenblatt!$B$7,NOT(L417=Datenblatt!$B$7)),"a",IF(AND(L418=Datenblatt!$B$7,L417=Datenblatt!$B$7,NOT(L419=Datenblatt!$B$7)),"b","")))</f>
        <v/>
      </c>
      <c r="O418" s="19" t="str">
        <f t="shared" si="200"/>
        <v/>
      </c>
      <c r="P418" s="124" t="str">
        <f>IF(AND(M418=Datenblatt!$B$7,NOT(M417=Datenblatt!$B$7),NOT(M419=Datenblatt!$B$7)),"y",IF(AND(M418=Datenblatt!$B$7,M419=Datenblatt!$B$7,NOT(M417=Datenblatt!$B$7)),"a",IF(AND(M418=Datenblatt!$B$7,M417=Datenblatt!$B$7,NOT(M419=Datenblatt!$B$7)),"b","")))</f>
        <v/>
      </c>
      <c r="Q418" s="19" t="str">
        <f t="shared" si="201"/>
        <v/>
      </c>
      <c r="R418" s="124" t="str">
        <f>IF(I418="","",IF(AND(OR(J418="Krankenstand",J418="Urlaub",J418=""), AND(G418=0,NOT(I418=""))),Datenblatt!$B$7,""))</f>
        <v/>
      </c>
      <c r="S418" s="19" t="str">
        <f>IF(OR(J418="Krankenstand",J418="Urlaub"),"",IF(J418="","",VLOOKUP(D418,Dienste!C:W,21,)))</f>
        <v/>
      </c>
      <c r="T418" s="18" t="str">
        <f>IF(OR(J418="Krankenstand",J418="Urlaub"),"",IF(J418="","",VLOOKUP(D418,Dienste!C:W,5,)))</f>
        <v/>
      </c>
      <c r="U418" s="18" t="str">
        <f>IF(OR(J418="Krankenstand",J418="Urlaub"),"",IF(J418="","",VLOOKUP(D418,Dienste!C:W,6,)))</f>
        <v/>
      </c>
      <c r="V418" s="18" t="str">
        <f>IF(OR(J418="Krankenstand",J418="Urlaub"),"",IF(J418="","",VLOOKUP(D418,Dienste!C:W,7,)))</f>
        <v/>
      </c>
      <c r="W418" s="18" t="str">
        <f>IF(OR(J418="Krankenstand",J418="Urlaub"),"",IF(J418="","",VLOOKUP(D418,Dienste!C:W,11,)))</f>
        <v/>
      </c>
      <c r="X418" s="18" t="str">
        <f>IF(OR(J418="Krankenstand",J418="Urlaub"),"",IF(J418="","",VLOOKUP(D418,Dienste!C:W,12,)))</f>
        <v/>
      </c>
      <c r="Y418" s="19" t="str">
        <f>IF(OR(J418="Krankenstand",J418="Urlaub"),"",IF(J418="","",VLOOKUP(D418,Dienste!C:W,14,)))</f>
        <v/>
      </c>
      <c r="Z418" s="20" t="str">
        <f>IF(OR(J418="Krankenstand",J418="Urlaub"),"",IF(J418="","",VLOOKUP(D418,Dienste!C:W,15,)))</f>
        <v/>
      </c>
      <c r="AA418" s="124" t="str">
        <f t="shared" si="192"/>
        <v/>
      </c>
      <c r="AB418" s="19" t="str">
        <f t="shared" si="193"/>
        <v/>
      </c>
      <c r="AC418" s="126" t="str">
        <f>_xlfn.CONCAT(_xlfn.CONCAT(IF(I418="","",_xlfn.CONCAT("FT: ",I418,IF(J418="","","; "))),IF(B418&lt;Datenblatt!$B$9,"",IF(B418="","",IF(NOT(J418=""),SUBSTITUTE(SUBSTITUTE(SUBSTITUTE(J418," mR","")," oR","")," O",""),"")))),IF(AF418="","",_xlfn.CONCAT(CHAR(10),"; ",AF418)))</f>
        <v/>
      </c>
      <c r="AD418" s="124" t="str">
        <f t="shared" si="202"/>
        <v/>
      </c>
      <c r="AE418" s="19">
        <f t="shared" si="194"/>
        <v>0</v>
      </c>
      <c r="AF418" s="156"/>
    </row>
    <row r="419" spans="1:32" s="9" customFormat="1" ht="13">
      <c r="B419" s="6">
        <f t="shared" si="195"/>
        <v>44891</v>
      </c>
      <c r="C419" s="45">
        <f>SMALL(Daten!W:W,COUNTIF(Daten!W:W,"&lt;"&amp;Stundenaufzeichnung!B419+1))</f>
        <v>44578</v>
      </c>
      <c r="D419" s="45" t="str">
        <f t="shared" si="190"/>
        <v/>
      </c>
      <c r="E419" s="8">
        <f t="shared" si="191"/>
        <v>1</v>
      </c>
      <c r="F419" s="8">
        <f t="shared" si="196"/>
        <v>6</v>
      </c>
      <c r="G419" s="8">
        <f>IF(B419="","",VLOOKUP(E419,Datenblatt!$L$2:$N$8,3,FALSE))</f>
        <v>0</v>
      </c>
      <c r="H419" s="8" t="str">
        <f t="shared" si="197"/>
        <v/>
      </c>
      <c r="I419" s="11" t="str">
        <f>IFERROR(VLOOKUP(B419,Datenblatt!$E:$F,2,FALSE),"")</f>
        <v/>
      </c>
      <c r="J419" s="113"/>
      <c r="K419" s="19">
        <f>IF(B419&lt;Datenblatt!$B$9,"",IF(B419="","",IF(G419=0,Datenblatt!$B$7,"")))</f>
        <v>6.67</v>
      </c>
      <c r="L419" s="19" t="str">
        <f t="shared" si="198"/>
        <v/>
      </c>
      <c r="M419" s="124" t="str">
        <f t="shared" si="199"/>
        <v/>
      </c>
      <c r="N419" s="124" t="str">
        <f>IF(AND(L419=Datenblatt!$B$7,NOT(L418=Datenblatt!$B$7),NOT(L420=Datenblatt!$B$7)),"y",IF(AND(L419=Datenblatt!$B$7,L420=Datenblatt!$B$7,NOT(L418=Datenblatt!$B$7)),"a",IF(AND(L419=Datenblatt!$B$7,L418=Datenblatt!$B$7,NOT(L420=Datenblatt!$B$7)),"b","")))</f>
        <v/>
      </c>
      <c r="O419" s="19" t="str">
        <f t="shared" si="200"/>
        <v/>
      </c>
      <c r="P419" s="124" t="str">
        <f>IF(AND(M419=Datenblatt!$B$7,NOT(M418=Datenblatt!$B$7),NOT(M420=Datenblatt!$B$7)),"y",IF(AND(M419=Datenblatt!$B$7,M420=Datenblatt!$B$7,NOT(M418=Datenblatt!$B$7)),"a",IF(AND(M419=Datenblatt!$B$7,M418=Datenblatt!$B$7,NOT(M420=Datenblatt!$B$7)),"b","")))</f>
        <v/>
      </c>
      <c r="Q419" s="19" t="str">
        <f t="shared" si="201"/>
        <v/>
      </c>
      <c r="R419" s="124" t="str">
        <f>IF(I419="","",IF(AND(OR(J419="Krankenstand",J419="Urlaub",J419=""), AND(G419=0,NOT(I419=""))),Datenblatt!$B$7,""))</f>
        <v/>
      </c>
      <c r="S419" s="19" t="str">
        <f>IF(OR(J419="Krankenstand",J419="Urlaub"),"",IF(J419="","",VLOOKUP(D419,Dienste!C:W,21,)))</f>
        <v/>
      </c>
      <c r="T419" s="18" t="str">
        <f>IF(OR(J419="Krankenstand",J419="Urlaub"),"",IF(J419="","",VLOOKUP(D419,Dienste!C:W,5,)))</f>
        <v/>
      </c>
      <c r="U419" s="18" t="str">
        <f>IF(OR(J419="Krankenstand",J419="Urlaub"),"",IF(J419="","",VLOOKUP(D419,Dienste!C:W,6,)))</f>
        <v/>
      </c>
      <c r="V419" s="18" t="str">
        <f>IF(OR(J419="Krankenstand",J419="Urlaub"),"",IF(J419="","",VLOOKUP(D419,Dienste!C:W,7,)))</f>
        <v/>
      </c>
      <c r="W419" s="18" t="str">
        <f>IF(OR(J419="Krankenstand",J419="Urlaub"),"",IF(J419="","",VLOOKUP(D419,Dienste!C:W,11,)))</f>
        <v/>
      </c>
      <c r="X419" s="18" t="str">
        <f>IF(OR(J419="Krankenstand",J419="Urlaub"),"",IF(J419="","",VLOOKUP(D419,Dienste!C:W,12,)))</f>
        <v/>
      </c>
      <c r="Y419" s="19" t="str">
        <f>IF(OR(J419="Krankenstand",J419="Urlaub"),"",IF(J419="","",VLOOKUP(D419,Dienste!C:W,14,)))</f>
        <v/>
      </c>
      <c r="Z419" s="20" t="str">
        <f>IF(OR(J419="Krankenstand",J419="Urlaub"),"",IF(J419="","",VLOOKUP(D419,Dienste!C:W,15,)))</f>
        <v/>
      </c>
      <c r="AA419" s="124" t="str">
        <f t="shared" si="192"/>
        <v/>
      </c>
      <c r="AB419" s="19" t="str">
        <f t="shared" si="193"/>
        <v/>
      </c>
      <c r="AC419" s="126" t="str">
        <f>_xlfn.CONCAT(_xlfn.CONCAT(IF(I419="","",_xlfn.CONCAT("FT: ",I419,IF(J419="","","; "))),IF(B419&lt;Datenblatt!$B$9,"",IF(B419="","",IF(NOT(J419=""),SUBSTITUTE(SUBSTITUTE(SUBSTITUTE(J419," mR","")," oR","")," O",""),"")))),IF(AF419="","",_xlfn.CONCAT(CHAR(10),"; ",AF419)))</f>
        <v/>
      </c>
      <c r="AD419" s="124" t="str">
        <f t="shared" si="202"/>
        <v/>
      </c>
      <c r="AE419" s="19">
        <f t="shared" si="194"/>
        <v>0</v>
      </c>
      <c r="AF419" s="156"/>
    </row>
    <row r="420" spans="1:32" s="9" customFormat="1" ht="13">
      <c r="B420" s="6">
        <f t="shared" si="195"/>
        <v>44892</v>
      </c>
      <c r="C420" s="45">
        <f>SMALL(Daten!W:W,COUNTIF(Daten!W:W,"&lt;"&amp;Stundenaufzeichnung!B420+1))</f>
        <v>44578</v>
      </c>
      <c r="D420" s="45" t="str">
        <f t="shared" si="190"/>
        <v/>
      </c>
      <c r="E420" s="8">
        <f t="shared" si="191"/>
        <v>2</v>
      </c>
      <c r="F420" s="8">
        <f t="shared" si="196"/>
        <v>7</v>
      </c>
      <c r="G420" s="8">
        <f>IF(B420="","",VLOOKUP(E420,Datenblatt!$L$2:$N$8,3,FALSE))</f>
        <v>1</v>
      </c>
      <c r="H420" s="8" t="str">
        <f t="shared" si="197"/>
        <v>x</v>
      </c>
      <c r="I420" s="11" t="str">
        <f>IFERROR(VLOOKUP(B420,Datenblatt!$E:$F,2,FALSE),"")</f>
        <v/>
      </c>
      <c r="J420" s="113"/>
      <c r="K420" s="19" t="str">
        <f>IF(B420&lt;Datenblatt!$B$9,"",IF(B420="","",IF(G420=0,Datenblatt!$B$7,"")))</f>
        <v/>
      </c>
      <c r="L420" s="19" t="str">
        <f t="shared" si="198"/>
        <v/>
      </c>
      <c r="M420" s="124" t="str">
        <f t="shared" si="199"/>
        <v/>
      </c>
      <c r="N420" s="124" t="str">
        <f>IF(AND(L420=Datenblatt!$B$7,NOT(L419=Datenblatt!$B$7),NOT(L421=Datenblatt!$B$7)),"y",IF(AND(L420=Datenblatt!$B$7,L421=Datenblatt!$B$7,NOT(L419=Datenblatt!$B$7)),"a",IF(AND(L420=Datenblatt!$B$7,L419=Datenblatt!$B$7,NOT(L421=Datenblatt!$B$7)),"b","")))</f>
        <v/>
      </c>
      <c r="O420" s="19" t="str">
        <f t="shared" si="200"/>
        <v/>
      </c>
      <c r="P420" s="124" t="str">
        <f>IF(AND(M420=Datenblatt!$B$7,NOT(M419=Datenblatt!$B$7),NOT(M421=Datenblatt!$B$7)),"y",IF(AND(M420=Datenblatt!$B$7,M421=Datenblatt!$B$7,NOT(M419=Datenblatt!$B$7)),"a",IF(AND(M420=Datenblatt!$B$7,M419=Datenblatt!$B$7,NOT(M421=Datenblatt!$B$7)),"b","")))</f>
        <v/>
      </c>
      <c r="Q420" s="19" t="str">
        <f t="shared" si="201"/>
        <v/>
      </c>
      <c r="R420" s="124" t="str">
        <f>IF(I420="","",IF(AND(OR(J420="Krankenstand",J420="Urlaub",J420=""), AND(G420=0,NOT(I420=""))),Datenblatt!$B$7,""))</f>
        <v/>
      </c>
      <c r="S420" s="19" t="str">
        <f>IF(OR(J420="Krankenstand",J420="Urlaub"),"",IF(J420="","",VLOOKUP(D420,Dienste!C:W,21,)))</f>
        <v/>
      </c>
      <c r="T420" s="18" t="str">
        <f>IF(OR(J420="Krankenstand",J420="Urlaub"),"",IF(J420="","",VLOOKUP(D420,Dienste!C:W,5,)))</f>
        <v/>
      </c>
      <c r="U420" s="18" t="str">
        <f>IF(OR(J420="Krankenstand",J420="Urlaub"),"",IF(J420="","",VLOOKUP(D420,Dienste!C:W,6,)))</f>
        <v/>
      </c>
      <c r="V420" s="18" t="str">
        <f>IF(OR(J420="Krankenstand",J420="Urlaub"),"",IF(J420="","",VLOOKUP(D420,Dienste!C:W,7,)))</f>
        <v/>
      </c>
      <c r="W420" s="18" t="str">
        <f>IF(OR(J420="Krankenstand",J420="Urlaub"),"",IF(J420="","",VLOOKUP(D420,Dienste!C:W,11,)))</f>
        <v/>
      </c>
      <c r="X420" s="18" t="str">
        <f>IF(OR(J420="Krankenstand",J420="Urlaub"),"",IF(J420="","",VLOOKUP(D420,Dienste!C:W,12,)))</f>
        <v/>
      </c>
      <c r="Y420" s="19" t="str">
        <f>IF(OR(J420="Krankenstand",J420="Urlaub"),"",IF(J420="","",VLOOKUP(D420,Dienste!C:W,14,)))</f>
        <v/>
      </c>
      <c r="Z420" s="20" t="str">
        <f>IF(OR(J420="Krankenstand",J420="Urlaub"),"",IF(J420="","",VLOOKUP(D420,Dienste!C:W,15,)))</f>
        <v/>
      </c>
      <c r="AA420" s="124" t="str">
        <f t="shared" si="192"/>
        <v/>
      </c>
      <c r="AB420" s="19" t="str">
        <f t="shared" si="193"/>
        <v/>
      </c>
      <c r="AC420" s="126" t="str">
        <f>_xlfn.CONCAT(_xlfn.CONCAT(IF(I420="","",_xlfn.CONCAT("FT: ",I420,IF(J420="","","; "))),IF(B420&lt;Datenblatt!$B$9,"",IF(B420="","",IF(NOT(J420=""),SUBSTITUTE(SUBSTITUTE(SUBSTITUTE(J420," mR","")," oR","")," O",""),"")))),IF(AF420="","",_xlfn.CONCAT(CHAR(10),"; ",AF420)))</f>
        <v/>
      </c>
      <c r="AD420" s="124" t="str">
        <f t="shared" si="202"/>
        <v/>
      </c>
      <c r="AE420" s="19">
        <f t="shared" si="194"/>
        <v>0</v>
      </c>
      <c r="AF420" s="156"/>
    </row>
    <row r="421" spans="1:32" s="9" customFormat="1" ht="13">
      <c r="B421" s="6">
        <f t="shared" si="195"/>
        <v>44893</v>
      </c>
      <c r="C421" s="45">
        <f>SMALL(Daten!W:W,COUNTIF(Daten!W:W,"&lt;"&amp;Stundenaufzeichnung!B421+1))</f>
        <v>44578</v>
      </c>
      <c r="D421" s="45" t="str">
        <f t="shared" si="190"/>
        <v/>
      </c>
      <c r="E421" s="8">
        <f t="shared" si="191"/>
        <v>3</v>
      </c>
      <c r="F421" s="8">
        <f t="shared" si="196"/>
        <v>1</v>
      </c>
      <c r="G421" s="8">
        <f>IF(B421="","",VLOOKUP(E421,Datenblatt!$L$2:$N$8,3,FALSE))</f>
        <v>0</v>
      </c>
      <c r="H421" s="8" t="str">
        <f t="shared" si="197"/>
        <v/>
      </c>
      <c r="I421" s="11" t="str">
        <f>IFERROR(VLOOKUP(B421,Datenblatt!$E:$F,2,FALSE),"")</f>
        <v/>
      </c>
      <c r="J421" s="113"/>
      <c r="K421" s="19">
        <f>IF(B421&lt;Datenblatt!$B$9,"",IF(B421="","",IF(G421=0,Datenblatt!$B$7,"")))</f>
        <v>6.67</v>
      </c>
      <c r="L421" s="19" t="str">
        <f t="shared" si="198"/>
        <v/>
      </c>
      <c r="M421" s="124" t="str">
        <f t="shared" si="199"/>
        <v/>
      </c>
      <c r="N421" s="124" t="str">
        <f>IF(AND(L421=Datenblatt!$B$7,NOT(L420=Datenblatt!$B$7),NOT(L422=Datenblatt!$B$7)),"y",IF(AND(L421=Datenblatt!$B$7,L422=Datenblatt!$B$7,NOT(L420=Datenblatt!$B$7)),"a",IF(AND(L421=Datenblatt!$B$7,L420=Datenblatt!$B$7,NOT(L422=Datenblatt!$B$7)),"b","")))</f>
        <v/>
      </c>
      <c r="O421" s="19" t="str">
        <f t="shared" si="200"/>
        <v/>
      </c>
      <c r="P421" s="124" t="str">
        <f>IF(AND(M421=Datenblatt!$B$7,NOT(M420=Datenblatt!$B$7),NOT(M422=Datenblatt!$B$7)),"y",IF(AND(M421=Datenblatt!$B$7,M422=Datenblatt!$B$7,NOT(M420=Datenblatt!$B$7)),"a",IF(AND(M421=Datenblatt!$B$7,M420=Datenblatt!$B$7,NOT(M422=Datenblatt!$B$7)),"b","")))</f>
        <v/>
      </c>
      <c r="Q421" s="19" t="str">
        <f t="shared" si="201"/>
        <v/>
      </c>
      <c r="R421" s="124" t="str">
        <f>IF(I421="","",IF(AND(OR(J421="Krankenstand",J421="Urlaub",J421=""), AND(G421=0,NOT(I421=""))),Datenblatt!$B$7,""))</f>
        <v/>
      </c>
      <c r="S421" s="19" t="str">
        <f>IF(OR(J421="Krankenstand",J421="Urlaub"),"",IF(J421="","",VLOOKUP(D421,Dienste!C:W,21,)))</f>
        <v/>
      </c>
      <c r="T421" s="18" t="str">
        <f>IF(OR(J421="Krankenstand",J421="Urlaub"),"",IF(J421="","",VLOOKUP(D421,Dienste!C:W,5,)))</f>
        <v/>
      </c>
      <c r="U421" s="18" t="str">
        <f>IF(OR(J421="Krankenstand",J421="Urlaub"),"",IF(J421="","",VLOOKUP(D421,Dienste!C:W,6,)))</f>
        <v/>
      </c>
      <c r="V421" s="18" t="str">
        <f>IF(OR(J421="Krankenstand",J421="Urlaub"),"",IF(J421="","",VLOOKUP(D421,Dienste!C:W,7,)))</f>
        <v/>
      </c>
      <c r="W421" s="18" t="str">
        <f>IF(OR(J421="Krankenstand",J421="Urlaub"),"",IF(J421="","",VLOOKUP(D421,Dienste!C:W,11,)))</f>
        <v/>
      </c>
      <c r="X421" s="18" t="str">
        <f>IF(OR(J421="Krankenstand",J421="Urlaub"),"",IF(J421="","",VLOOKUP(D421,Dienste!C:W,12,)))</f>
        <v/>
      </c>
      <c r="Y421" s="19" t="str">
        <f>IF(OR(J421="Krankenstand",J421="Urlaub"),"",IF(J421="","",VLOOKUP(D421,Dienste!C:W,14,)))</f>
        <v/>
      </c>
      <c r="Z421" s="20" t="str">
        <f>IF(OR(J421="Krankenstand",J421="Urlaub"),"",IF(J421="","",VLOOKUP(D421,Dienste!C:W,15,)))</f>
        <v/>
      </c>
      <c r="AA421" s="124" t="str">
        <f t="shared" si="192"/>
        <v/>
      </c>
      <c r="AB421" s="19" t="str">
        <f t="shared" si="193"/>
        <v/>
      </c>
      <c r="AC421" s="126" t="str">
        <f>_xlfn.CONCAT(_xlfn.CONCAT(IF(I421="","",_xlfn.CONCAT("FT: ",I421,IF(J421="","","; "))),IF(B421&lt;Datenblatt!$B$9,"",IF(B421="","",IF(NOT(J421=""),SUBSTITUTE(SUBSTITUTE(SUBSTITUTE(J421," mR","")," oR","")," O",""),"")))),IF(AF421="","",_xlfn.CONCAT(CHAR(10),"; ",AF421)))</f>
        <v/>
      </c>
      <c r="AD421" s="124" t="str">
        <f t="shared" si="202"/>
        <v/>
      </c>
      <c r="AE421" s="19">
        <f t="shared" si="194"/>
        <v>0</v>
      </c>
      <c r="AF421" s="156"/>
    </row>
    <row r="422" spans="1:32" s="9" customFormat="1" ht="13">
      <c r="B422" s="6">
        <f>IF(B421="","",IF(DAY(B421+1)&lt;29,"",B421+1))</f>
        <v>44894</v>
      </c>
      <c r="C422" s="45">
        <f>SMALL(Daten!W:W,COUNTIF(Daten!W:W,"&lt;"&amp;Stundenaufzeichnung!B422+1))</f>
        <v>44578</v>
      </c>
      <c r="D422" s="45" t="str">
        <f t="shared" si="190"/>
        <v/>
      </c>
      <c r="E422" s="8">
        <f t="shared" si="191"/>
        <v>4</v>
      </c>
      <c r="F422" s="8">
        <f>IF(B422="","",MOD(E422+$F$3,7)+1)</f>
        <v>2</v>
      </c>
      <c r="G422" s="8">
        <f>IF(B422="","",VLOOKUP(E422,Datenblatt!$L$2:$N$8,3,FALSE))</f>
        <v>0</v>
      </c>
      <c r="H422" s="8" t="str">
        <f t="shared" si="197"/>
        <v/>
      </c>
      <c r="I422" s="11" t="str">
        <f>IFERROR(VLOOKUP(B422,Datenblatt!$E:$F,2,FALSE),"")</f>
        <v/>
      </c>
      <c r="J422" s="113"/>
      <c r="K422" s="19">
        <f>IF(B422&lt;Datenblatt!$B$9,"",IF(B422="","",IF(G422=0,Datenblatt!$B$7,"")))</f>
        <v>6.67</v>
      </c>
      <c r="L422" s="19" t="str">
        <f t="shared" si="198"/>
        <v/>
      </c>
      <c r="M422" s="124" t="str">
        <f t="shared" si="199"/>
        <v/>
      </c>
      <c r="N422" s="124" t="str">
        <f>IF(AND(L422=Datenblatt!$B$7,NOT(L421=Datenblatt!$B$7),NOT(L423=Datenblatt!$B$7)),"y",IF(AND(L422=Datenblatt!$B$7,L423=Datenblatt!$B$7,NOT(L421=Datenblatt!$B$7)),"a",IF(AND(L422=Datenblatt!$B$7,L421=Datenblatt!$B$7,NOT(L423=Datenblatt!$B$7)),"b","")))</f>
        <v/>
      </c>
      <c r="O422" s="19" t="str">
        <f t="shared" si="200"/>
        <v/>
      </c>
      <c r="P422" s="124" t="str">
        <f>IF(AND(M422=Datenblatt!$B$7,NOT(M421=Datenblatt!$B$7),NOT(M423=Datenblatt!$B$7)),"y",IF(AND(M422=Datenblatt!$B$7,M423=Datenblatt!$B$7,NOT(M421=Datenblatt!$B$7)),"a",IF(AND(M422=Datenblatt!$B$7,M421=Datenblatt!$B$7,NOT(M423=Datenblatt!$B$7)),"b","")))</f>
        <v/>
      </c>
      <c r="Q422" s="19" t="str">
        <f t="shared" si="201"/>
        <v/>
      </c>
      <c r="R422" s="124" t="str">
        <f>IF(I422="","",IF(AND(OR(J422="Krankenstand",J422="Urlaub",J422=""), AND(G422=0,NOT(I422=""))),Datenblatt!$B$7,""))</f>
        <v/>
      </c>
      <c r="S422" s="19" t="str">
        <f>IF(OR(J422="Krankenstand",J422="Urlaub"),"",IF(J422="","",VLOOKUP(D422,Dienste!C:W,21,)))</f>
        <v/>
      </c>
      <c r="T422" s="18" t="str">
        <f>IF(OR(J422="Krankenstand",J422="Urlaub"),"",IF(J422="","",VLOOKUP(D422,Dienste!C:W,5,)))</f>
        <v/>
      </c>
      <c r="U422" s="18" t="str">
        <f>IF(OR(J422="Krankenstand",J422="Urlaub"),"",IF(J422="","",VLOOKUP(D422,Dienste!C:W,6,)))</f>
        <v/>
      </c>
      <c r="V422" s="18" t="str">
        <f>IF(OR(J422="Krankenstand",J422="Urlaub"),"",IF(J422="","",VLOOKUP(D422,Dienste!C:W,7,)))</f>
        <v/>
      </c>
      <c r="W422" s="18" t="str">
        <f>IF(OR(J422="Krankenstand",J422="Urlaub"),"",IF(J422="","",VLOOKUP(D422,Dienste!C:W,11,)))</f>
        <v/>
      </c>
      <c r="X422" s="18" t="str">
        <f>IF(OR(J422="Krankenstand",J422="Urlaub"),"",IF(J422="","",VLOOKUP(D422,Dienste!C:W,12,)))</f>
        <v/>
      </c>
      <c r="Y422" s="19" t="str">
        <f>IF(OR(J422="Krankenstand",J422="Urlaub"),"",IF(J422="","",VLOOKUP(D422,Dienste!C:W,14,)))</f>
        <v/>
      </c>
      <c r="Z422" s="20" t="str">
        <f>IF(OR(J422="Krankenstand",J422="Urlaub"),"",IF(J422="","",VLOOKUP(D422,Dienste!C:W,15,)))</f>
        <v/>
      </c>
      <c r="AA422" s="124" t="str">
        <f t="shared" si="192"/>
        <v/>
      </c>
      <c r="AB422" s="19" t="str">
        <f t="shared" si="193"/>
        <v/>
      </c>
      <c r="AC422" s="126" t="str">
        <f>_xlfn.CONCAT(_xlfn.CONCAT(IF(I422="","",_xlfn.CONCAT("FT: ",I422,IF(J422="","","; "))),IF(B422&lt;Datenblatt!$B$9,"",IF(B422="","",IF(NOT(J422=""),SUBSTITUTE(SUBSTITUTE(SUBSTITUTE(J422," mR","")," oR","")," O",""),"")))),IF(AF422="","",_xlfn.CONCAT(CHAR(10),"; ",AF422)))</f>
        <v/>
      </c>
      <c r="AD422" s="124" t="str">
        <f t="shared" si="202"/>
        <v/>
      </c>
      <c r="AE422" s="19">
        <f t="shared" si="194"/>
        <v>0</v>
      </c>
      <c r="AF422" s="156"/>
    </row>
    <row r="423" spans="1:32" s="9" customFormat="1" ht="13">
      <c r="B423" s="6">
        <f>IF(B422="","",IF(DAY(B422+1)&lt;30,"",B422+1))</f>
        <v>44895</v>
      </c>
      <c r="C423" s="45">
        <f>SMALL(Daten!W:W,COUNTIF(Daten!W:W,"&lt;"&amp;Stundenaufzeichnung!B423+1))</f>
        <v>44578</v>
      </c>
      <c r="D423" s="45" t="str">
        <f t="shared" si="190"/>
        <v/>
      </c>
      <c r="E423" s="8">
        <f t="shared" si="191"/>
        <v>5</v>
      </c>
      <c r="F423" s="8">
        <f>IF(B423="","",MOD(E423+$F$3,7)+1)</f>
        <v>3</v>
      </c>
      <c r="G423" s="8">
        <f>IF(B423="","",VLOOKUP(E423,Datenblatt!$L$2:$N$8,3,FALSE))</f>
        <v>0</v>
      </c>
      <c r="H423" s="8" t="str">
        <f t="shared" si="197"/>
        <v/>
      </c>
      <c r="I423" s="11" t="str">
        <f>IFERROR(VLOOKUP(B423,Datenblatt!$E:$F,2,FALSE),"")</f>
        <v/>
      </c>
      <c r="J423" s="113"/>
      <c r="K423" s="19">
        <f>IF(B423&lt;Datenblatt!$B$9,"",IF(B423="","",IF(G423=0,Datenblatt!$B$7,"")))</f>
        <v>6.67</v>
      </c>
      <c r="L423" s="19" t="str">
        <f t="shared" si="198"/>
        <v/>
      </c>
      <c r="M423" s="124" t="str">
        <f t="shared" si="199"/>
        <v/>
      </c>
      <c r="N423" s="124" t="str">
        <f>IF(AND(L423=Datenblatt!$B$7,NOT(L422=Datenblatt!$B$7),NOT(L424=Datenblatt!$B$7)),"y",IF(AND(L423=Datenblatt!$B$7,L424=Datenblatt!$B$7,NOT(L422=Datenblatt!$B$7)),"a",IF(AND(L423=Datenblatt!$B$7,L422=Datenblatt!$B$7,NOT(L424=Datenblatt!$B$7)),"b","")))</f>
        <v/>
      </c>
      <c r="O423" s="19" t="str">
        <f t="shared" si="200"/>
        <v/>
      </c>
      <c r="P423" s="124" t="str">
        <f>IF(AND(M423=Datenblatt!$B$7,NOT(M422=Datenblatt!$B$7),NOT(M424=Datenblatt!$B$7)),"y",IF(AND(M423=Datenblatt!$B$7,M424=Datenblatt!$B$7,NOT(M422=Datenblatt!$B$7)),"a",IF(AND(M423=Datenblatt!$B$7,M422=Datenblatt!$B$7,NOT(M424=Datenblatt!$B$7)),"b","")))</f>
        <v/>
      </c>
      <c r="Q423" s="19" t="str">
        <f t="shared" si="201"/>
        <v/>
      </c>
      <c r="R423" s="124" t="str">
        <f>IF(I423="","",IF(AND(OR(J423="Krankenstand",J423="Urlaub",J423=""), AND(G423=0,NOT(I423=""))),Datenblatt!$B$7,""))</f>
        <v/>
      </c>
      <c r="S423" s="19" t="str">
        <f>IF(OR(J423="Krankenstand",J423="Urlaub"),"",IF(J423="","",VLOOKUP(D423,Dienste!C:W,21,)))</f>
        <v/>
      </c>
      <c r="T423" s="18" t="str">
        <f>IF(OR(J423="Krankenstand",J423="Urlaub"),"",IF(J423="","",VLOOKUP(D423,Dienste!C:W,5,)))</f>
        <v/>
      </c>
      <c r="U423" s="18" t="str">
        <f>IF(OR(J423="Krankenstand",J423="Urlaub"),"",IF(J423="","",VLOOKUP(D423,Dienste!C:W,6,)))</f>
        <v/>
      </c>
      <c r="V423" s="18" t="str">
        <f>IF(OR(J423="Krankenstand",J423="Urlaub"),"",IF(J423="","",VLOOKUP(D423,Dienste!C:W,7,)))</f>
        <v/>
      </c>
      <c r="W423" s="18" t="str">
        <f>IF(OR(J423="Krankenstand",J423="Urlaub"),"",IF(J423="","",VLOOKUP(D423,Dienste!C:W,11,)))</f>
        <v/>
      </c>
      <c r="X423" s="18" t="str">
        <f>IF(OR(J423="Krankenstand",J423="Urlaub"),"",IF(J423="","",VLOOKUP(D423,Dienste!C:W,12,)))</f>
        <v/>
      </c>
      <c r="Y423" s="19" t="str">
        <f>IF(OR(J423="Krankenstand",J423="Urlaub"),"",IF(J423="","",VLOOKUP(D423,Dienste!C:W,14,)))</f>
        <v/>
      </c>
      <c r="Z423" s="20" t="str">
        <f>IF(OR(J423="Krankenstand",J423="Urlaub"),"",IF(J423="","",VLOOKUP(D423,Dienste!C:W,15,)))</f>
        <v/>
      </c>
      <c r="AA423" s="124" t="str">
        <f>IF(OR(Y423="",NOT(AB423="")),"",IF(AND(Y423&lt;AE424,AE424&gt;0),Y423,IF(AE424&gt;0,AE424,"")))</f>
        <v/>
      </c>
      <c r="AB423" s="19" t="str">
        <f t="shared" si="193"/>
        <v/>
      </c>
      <c r="AC423" s="126" t="str">
        <f>_xlfn.CONCAT(_xlfn.CONCAT(IF(I423="","",_xlfn.CONCAT("FT: ",I423,IF(J423="","","; "))),IF(B423&lt;Datenblatt!$B$9,"",IF(B423="","",IF(NOT(J423=""),SUBSTITUTE(SUBSTITUTE(SUBSTITUTE(J423," mR","")," oR","")," O",""),"")))),IF(AF423="","",_xlfn.CONCAT(CHAR(10),"; ",AF423)))</f>
        <v/>
      </c>
      <c r="AD423" s="124" t="str">
        <f t="shared" si="202"/>
        <v/>
      </c>
      <c r="AE423" s="19">
        <f t="shared" si="194"/>
        <v>0</v>
      </c>
      <c r="AF423" s="156"/>
    </row>
    <row r="424" spans="1:32" s="9" customFormat="1" ht="13">
      <c r="B424" s="28" t="str">
        <f>IF(B423="","",IF(DAY(B423+1)&lt;31,"",B423+1))</f>
        <v/>
      </c>
      <c r="C424" s="47" t="e">
        <f>SMALL(Daten!W:W,COUNTIF(Daten!W:W,"&lt;"&amp;Stundenaufzeichnung!B424+1))</f>
        <v>#NUM!</v>
      </c>
      <c r="D424" s="47" t="str">
        <f t="shared" si="190"/>
        <v/>
      </c>
      <c r="E424" s="29" t="str">
        <f t="shared" si="191"/>
        <v/>
      </c>
      <c r="F424" s="29" t="str">
        <f>IF(B424="","",MOD(E424+$F$3,7)+1)</f>
        <v/>
      </c>
      <c r="G424" s="29" t="str">
        <f>IF(B424="","",VLOOKUP(E424,Datenblatt!$L$2:$N$8,3,FALSE))</f>
        <v/>
      </c>
      <c r="H424" s="29" t="str">
        <f t="shared" si="197"/>
        <v/>
      </c>
      <c r="I424" s="123" t="str">
        <f>IFERROR(VLOOKUP(B424,Datenblatt!$E:$F,2,FALSE),"")</f>
        <v/>
      </c>
      <c r="J424" s="114"/>
      <c r="K424" s="30" t="str">
        <f>IF(B424&lt;Datenblatt!$B$9,"",IF(B424="","",IF(G424=0,Datenblatt!$B$7,"")))</f>
        <v/>
      </c>
      <c r="L424" s="30" t="str">
        <f t="shared" si="198"/>
        <v/>
      </c>
      <c r="M424" s="30" t="str">
        <f t="shared" si="199"/>
        <v/>
      </c>
      <c r="N424" s="30" t="str">
        <f>IF(AND(L424=Datenblatt!$B$7,NOT(L423=Datenblatt!$B$7),NOT(L425=Datenblatt!$B$7)),"y",IF(AND(L424=Datenblatt!$B$7,L425=Datenblatt!$B$7,NOT(L423=Datenblatt!$B$7)),"a",IF(AND(L424=Datenblatt!$B$7,L423=Datenblatt!$B$7,NOT(L425=Datenblatt!$B$7)),"b","")))</f>
        <v/>
      </c>
      <c r="O424" s="30" t="str">
        <f t="shared" si="200"/>
        <v/>
      </c>
      <c r="P424" s="30" t="str">
        <f>IF(AND(M424=Datenblatt!$B$7,NOT(M423=Datenblatt!$B$7),NOT(M425=Datenblatt!$B$7)),"y",IF(AND(M424=Datenblatt!$B$7,M425=Datenblatt!$B$7,NOT(M423=Datenblatt!$B$7)),"a",IF(AND(M424=Datenblatt!$B$7,M423=Datenblatt!$B$7,NOT(M425=Datenblatt!$B$7)),"b","")))</f>
        <v/>
      </c>
      <c r="Q424" s="30" t="str">
        <f t="shared" si="201"/>
        <v/>
      </c>
      <c r="R424" s="30" t="str">
        <f>IF(I424="","",IF(AND(OR(J424="Krankenstand",J424="Urlaub",J424=""), AND(G424=0,NOT(I424=""))),Datenblatt!$B$7,""))</f>
        <v/>
      </c>
      <c r="S424" s="30" t="str">
        <f>IF(OR(J424="Krankenstand",J424="Urlaub"),"",IF(J424="","",VLOOKUP(D424,Dienste!C:W,21,)))</f>
        <v/>
      </c>
      <c r="T424" s="31" t="str">
        <f>IF(OR(J424="Krankenstand",J424="Urlaub"),"",IF(J424="","",VLOOKUP(D424,Dienste!C:W,5,)))</f>
        <v/>
      </c>
      <c r="U424" s="31" t="str">
        <f>IF(OR(J424="Krankenstand",J424="Urlaub"),"",IF(J424="","",VLOOKUP(D424,Dienste!C:W,6,)))</f>
        <v/>
      </c>
      <c r="V424" s="31" t="str">
        <f>IF(OR(J424="Krankenstand",J424="Urlaub"),"",IF(J424="","",VLOOKUP(D424,Dienste!C:W,7,)))</f>
        <v/>
      </c>
      <c r="W424" s="31" t="str">
        <f>IF(OR(J424="Krankenstand",J424="Urlaub"),"",IF(J424="","",VLOOKUP(D424,Dienste!C:W,11,)))</f>
        <v/>
      </c>
      <c r="X424" s="31" t="str">
        <f>IF(OR(J424="Krankenstand",J424="Urlaub"),"",IF(J424="","",VLOOKUP(D424,Dienste!C:W,12,)))</f>
        <v/>
      </c>
      <c r="Y424" s="30" t="str">
        <f>IF(OR(J424="Krankenstand",J424="Urlaub"),"",IF(J424="","",VLOOKUP(D424,Dienste!C:W,14,)))</f>
        <v/>
      </c>
      <c r="Z424" s="32" t="str">
        <f>IF(OR(J424="Krankenstand",J424="Urlaub"),"",IF(J424="","",VLOOKUP(D424,Dienste!C:W,15,)))</f>
        <v/>
      </c>
      <c r="AA424" s="30" t="str">
        <f>IF(OR(Y424="",NOT(AB424="")),"",IF(AND(Y424&lt;AE425,AE425&gt;0),Y424,IF(AE425&gt;0,AE425,"")))</f>
        <v/>
      </c>
      <c r="AB424" s="30" t="str">
        <f t="shared" si="193"/>
        <v/>
      </c>
      <c r="AC424" s="125" t="str">
        <f>_xlfn.CONCAT(_xlfn.CONCAT(IF(I424="","",_xlfn.CONCAT("FT: ",I424,IF(J424="","","; "))),IF(B424&lt;Datenblatt!$B$9,"",IF(B424="","",IF(NOT(J424=""),SUBSTITUTE(SUBSTITUTE(SUBSTITUTE(J424," mR","")," oR","")," O",""),"")))),IF(AF424="","",_xlfn.CONCAT(CHAR(10),"; ",AF424)))</f>
        <v/>
      </c>
      <c r="AD424" s="30" t="str">
        <f t="shared" si="202"/>
        <v/>
      </c>
      <c r="AE424" s="30">
        <f>IF(OR(Y424="",NOT(AB424="")),AE425,AE425-Y424)</f>
        <v>0</v>
      </c>
      <c r="AF424" s="157"/>
    </row>
    <row r="425" spans="1:32" s="8" customFormat="1" ht="13">
      <c r="AA425" s="19">
        <f>IF(AD426-AB426-K426&lt;0,0,AD426-AB426-K426)</f>
        <v>0</v>
      </c>
      <c r="AC425" s="17" t="s">
        <v>193</v>
      </c>
      <c r="AE425" s="19">
        <f>AA425</f>
        <v>0</v>
      </c>
      <c r="AF425" s="17"/>
    </row>
    <row r="426" spans="1:32" s="8" customFormat="1" ht="13">
      <c r="B426" s="25" t="str">
        <f>"Summen "&amp;TEXT(B394,"MMMM")</f>
        <v>Summen November</v>
      </c>
      <c r="C426" s="25"/>
      <c r="D426" s="25"/>
      <c r="E426" s="17"/>
      <c r="F426" s="17"/>
      <c r="G426" s="17"/>
      <c r="H426" s="17"/>
      <c r="I426" s="17"/>
      <c r="J426" s="17"/>
      <c r="K426" s="19">
        <f>SUM(K394:K424)</f>
        <v>173.41999999999993</v>
      </c>
      <c r="L426" s="19">
        <f t="shared" ref="L426:M426" si="203">SUM(L394:L424)</f>
        <v>0</v>
      </c>
      <c r="M426" s="19">
        <f t="shared" si="203"/>
        <v>0</v>
      </c>
      <c r="N426" s="19"/>
      <c r="O426" s="19" t="str">
        <f>IF(_xlfn.CONCAT(O394:O424)="","",REPLACE(_xlfn.CONCAT(O394:O424),LEN(_xlfn.CONCAT(O394:O424))-1,1,""))</f>
        <v/>
      </c>
      <c r="P426" s="19"/>
      <c r="Q426" s="19" t="str">
        <f t="shared" ref="Q426" si="204">IF(_xlfn.CONCAT(Q394:Q424)="","",REPLACE(_xlfn.CONCAT(Q394:Q424),LEN(_xlfn.CONCAT(Q394:Q424))-1,1,""))</f>
        <v/>
      </c>
      <c r="R426" s="19">
        <f t="shared" ref="R426:S426" si="205">SUM(R394:R424)</f>
        <v>6.67</v>
      </c>
      <c r="S426" s="19">
        <f t="shared" si="205"/>
        <v>0</v>
      </c>
      <c r="T426" s="19"/>
      <c r="U426" s="19"/>
      <c r="V426" s="19"/>
      <c r="W426" s="19"/>
      <c r="X426" s="17"/>
      <c r="Y426" s="19">
        <f>SUM(Y394:Y424)</f>
        <v>0</v>
      </c>
      <c r="Z426" s="20">
        <f>SUM(Z394:Z424)</f>
        <v>0</v>
      </c>
      <c r="AA426" s="26">
        <f>IF(AA425&gt;10,10,AA425)</f>
        <v>0</v>
      </c>
      <c r="AB426" s="19">
        <f t="shared" ref="AB426" si="206">SUM(AB394:AB424)</f>
        <v>0</v>
      </c>
      <c r="AC426" s="20">
        <f>R427</f>
        <v>1</v>
      </c>
      <c r="AD426" s="19">
        <f>SUM(AD394:AD424)</f>
        <v>6.67</v>
      </c>
      <c r="AE426" s="19"/>
      <c r="AF426" s="20"/>
    </row>
    <row r="427" spans="1:32" s="8" customFormat="1" ht="13">
      <c r="B427" s="25" t="str">
        <f>"Anzahl "&amp;TEXT(B394,"MMMM")</f>
        <v>Anzahl November</v>
      </c>
      <c r="C427" s="25"/>
      <c r="D427" s="25"/>
      <c r="E427" s="17"/>
      <c r="F427" s="17"/>
      <c r="G427" s="17"/>
      <c r="H427" s="17"/>
      <c r="I427" s="17"/>
      <c r="J427" s="17"/>
      <c r="K427" s="17">
        <f>COUNT(K394:K424)</f>
        <v>26</v>
      </c>
      <c r="L427" s="17">
        <f t="shared" ref="L427:M427" si="207">COUNT(L394:L424)</f>
        <v>0</v>
      </c>
      <c r="M427" s="17">
        <f t="shared" si="207"/>
        <v>0</v>
      </c>
      <c r="N427" s="17"/>
      <c r="O427" s="17"/>
      <c r="P427" s="17"/>
      <c r="Q427" s="17"/>
      <c r="R427" s="17">
        <f t="shared" ref="R427:S427" si="208">COUNT(R394:R424)</f>
        <v>1</v>
      </c>
      <c r="S427" s="17">
        <f t="shared" si="208"/>
        <v>0</v>
      </c>
      <c r="T427" s="17"/>
      <c r="U427" s="17"/>
      <c r="V427" s="17"/>
      <c r="W427" s="17"/>
      <c r="X427" s="17"/>
      <c r="Y427" s="17"/>
      <c r="Z427" s="17"/>
      <c r="AA427" s="27">
        <f>IF(AA425&gt;10,AA425-10,0)</f>
        <v>0</v>
      </c>
      <c r="AB427" s="17"/>
      <c r="AC427" s="17"/>
      <c r="AD427" s="17"/>
      <c r="AE427" s="17"/>
      <c r="AF427" s="17"/>
    </row>
    <row r="428" spans="1:32" s="8" customFormat="1" ht="13.5" thickBot="1">
      <c r="A428" s="10"/>
      <c r="B428" s="10"/>
      <c r="C428" s="10"/>
      <c r="D428" s="10"/>
      <c r="E428" s="10"/>
      <c r="F428" s="10"/>
      <c r="G428" s="10"/>
      <c r="H428" s="10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0"/>
      <c r="AB428" s="10"/>
      <c r="AC428" s="10"/>
      <c r="AD428" s="34"/>
      <c r="AE428" s="34"/>
      <c r="AF428" s="10"/>
    </row>
    <row r="429" spans="1:32" s="5" customFormat="1"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32" s="5" customFormat="1" ht="18.5">
      <c r="B430" s="33" t="s">
        <v>95</v>
      </c>
      <c r="C430" s="33"/>
      <c r="D430" s="33"/>
      <c r="E430" s="23"/>
      <c r="F430" s="23"/>
      <c r="G430" s="23"/>
      <c r="H430" s="23"/>
      <c r="I430" s="217" t="str">
        <f>Datenblatt!$B$4</f>
        <v>Dummy Name</v>
      </c>
      <c r="J430" s="217"/>
      <c r="K430" s="217"/>
      <c r="L430" s="217"/>
      <c r="M430" s="217"/>
      <c r="N430" s="217"/>
      <c r="O430" s="217"/>
      <c r="P430" s="217"/>
      <c r="Q430" s="217"/>
      <c r="R430" s="217"/>
      <c r="S430" s="217"/>
      <c r="T430" s="218" t="str">
        <f>TEXT(B433,"MMMM JJJJ")</f>
        <v>Dezember 2022</v>
      </c>
      <c r="U430" s="218"/>
      <c r="V430" s="218"/>
      <c r="W430" s="218"/>
      <c r="X430" s="8"/>
      <c r="Y430" s="8"/>
      <c r="Z430" s="8"/>
    </row>
    <row r="431" spans="1:32" s="5" customFormat="1" ht="15" customHeight="1">
      <c r="I431" s="2"/>
      <c r="J431" s="2"/>
      <c r="K431" s="13"/>
      <c r="L431" s="13"/>
      <c r="M431" s="13"/>
      <c r="N431" s="13"/>
      <c r="O431" s="13"/>
      <c r="P431" s="13"/>
      <c r="Q431" s="13"/>
      <c r="R431" s="13"/>
      <c r="S431" s="13"/>
      <c r="T431" s="221" t="s">
        <v>43</v>
      </c>
      <c r="U431" s="221"/>
      <c r="V431" s="221" t="s">
        <v>45</v>
      </c>
      <c r="W431" s="221" t="s">
        <v>116</v>
      </c>
      <c r="X431" s="221" t="s">
        <v>11</v>
      </c>
      <c r="Y431" s="219" t="s">
        <v>194</v>
      </c>
      <c r="Z431" s="219" t="s">
        <v>7</v>
      </c>
      <c r="AA431" s="220" t="s">
        <v>49</v>
      </c>
      <c r="AB431" s="220"/>
      <c r="AC431" s="160"/>
      <c r="AD431" s="160"/>
    </row>
    <row r="432" spans="1:32" s="5" customFormat="1" ht="15" customHeight="1">
      <c r="B432" s="8"/>
      <c r="C432" s="8"/>
      <c r="D432" s="8" t="s">
        <v>161</v>
      </c>
      <c r="E432" s="8"/>
      <c r="F432" s="8">
        <f>VLOOKUP(Datenblatt!$B$8,Datenblatt!$J:$K,2,FALSE)</f>
        <v>4</v>
      </c>
      <c r="G432" s="8" t="s">
        <v>113</v>
      </c>
      <c r="H432" s="8"/>
      <c r="I432" s="12" t="s">
        <v>92</v>
      </c>
      <c r="J432" s="115" t="s">
        <v>12</v>
      </c>
      <c r="K432" s="12" t="s">
        <v>94</v>
      </c>
      <c r="L432" s="12" t="s">
        <v>85</v>
      </c>
      <c r="M432" s="12" t="s">
        <v>88</v>
      </c>
      <c r="N432" s="12" t="s">
        <v>117</v>
      </c>
      <c r="O432" s="12" t="s">
        <v>117</v>
      </c>
      <c r="P432" s="12" t="s">
        <v>118</v>
      </c>
      <c r="Q432" s="12" t="s">
        <v>118</v>
      </c>
      <c r="R432" s="12" t="s">
        <v>112</v>
      </c>
      <c r="S432" s="12" t="s">
        <v>115</v>
      </c>
      <c r="T432" s="15" t="s">
        <v>51</v>
      </c>
      <c r="U432" s="15" t="s">
        <v>50</v>
      </c>
      <c r="V432" s="222"/>
      <c r="W432" s="222"/>
      <c r="X432" s="222"/>
      <c r="Y432" s="219"/>
      <c r="Z432" s="219" t="s">
        <v>7</v>
      </c>
      <c r="AA432" s="21">
        <v>0.5</v>
      </c>
      <c r="AB432" s="16" t="s">
        <v>114</v>
      </c>
      <c r="AC432" s="16" t="s">
        <v>131</v>
      </c>
      <c r="AD432" s="16" t="s">
        <v>131</v>
      </c>
      <c r="AE432" s="128" t="s">
        <v>195</v>
      </c>
      <c r="AF432" s="16" t="s">
        <v>198</v>
      </c>
    </row>
    <row r="433" spans="1:32" s="9" customFormat="1" ht="13">
      <c r="A433" s="9">
        <f>A394+1</f>
        <v>12</v>
      </c>
      <c r="B433" s="6">
        <f>DATE(Datenblatt!$B$3,A433,1)</f>
        <v>44896</v>
      </c>
      <c r="C433" s="45">
        <f>SMALL(Daten!W:W,COUNTIF(Daten!W:W,"&lt;"&amp;Stundenaufzeichnung!B433+1))</f>
        <v>44578</v>
      </c>
      <c r="D433" s="45" t="str">
        <f t="shared" ref="D433:D463" si="209">IF(J433="","",CONCATENATE(C433," ",J433))</f>
        <v/>
      </c>
      <c r="E433" s="8">
        <f t="shared" ref="E433:E463" si="210">IF(B433="","",WEEKDAY(B433,16))</f>
        <v>6</v>
      </c>
      <c r="F433" s="8">
        <f>MOD(E433+$F$3,7)+1</f>
        <v>4</v>
      </c>
      <c r="G433" s="8">
        <f>IF(B433="","",VLOOKUP(E433,Datenblatt!$L$2:$N$8,3,FALSE))</f>
        <v>0</v>
      </c>
      <c r="H433" s="8" t="str">
        <f>IF(OR(G433=1),"x",IF(I433="","","x"))</f>
        <v/>
      </c>
      <c r="I433" s="11" t="str">
        <f>IFERROR(VLOOKUP(B433,Datenblatt!$E:$F,2,FALSE),"")</f>
        <v/>
      </c>
      <c r="J433" s="113"/>
      <c r="K433" s="19">
        <f>IF(B433&lt;Datenblatt!$B$9,"",IF(B433="","",IF(G433=0,Datenblatt!$B$7,"")))</f>
        <v>6.67</v>
      </c>
      <c r="L433" s="19" t="str">
        <f>IF(AND(J433="Krankenstand",R433=""),K433,"")</f>
        <v/>
      </c>
      <c r="M433" s="124" t="str">
        <f>IF(AND(J433="Urlaub",R433=""),K433,"")</f>
        <v/>
      </c>
      <c r="N433" s="124" t="str">
        <f>IF(AND(L433=Datenblatt!$B$7,NOT(L432=Datenblatt!$B$7),NOT(L434=Datenblatt!$B$7)),"y",IF(AND(L433=Datenblatt!$B$7,L434=Datenblatt!$B$7,NOT(L432=Datenblatt!$B$7)),"a",IF(AND(L433=Datenblatt!$B$7,L432=Datenblatt!$B$7,NOT(L434=Datenblatt!$B$7)),"b","")))</f>
        <v/>
      </c>
      <c r="O433" s="19" t="str">
        <f>IF(N433="a",TEXT(B433,"TT.MM.")&amp;" - ",IF(OR(N433="b",N433="y"),TEXT(B433,"TT.MM.")&amp;"; ",""))</f>
        <v/>
      </c>
      <c r="P433" s="124" t="str">
        <f>IF(AND(M433=Datenblatt!$B$7,NOT(M432=Datenblatt!$B$7),NOT(M434=Datenblatt!$B$7)),"y",IF(AND(M433=Datenblatt!$B$7,M434=Datenblatt!$B$7,NOT(M432=Datenblatt!$B$7)),"a",IF(AND(M433=Datenblatt!$B$7,M432=Datenblatt!$B$7,NOT(M434=Datenblatt!$B$7)),"b","")))</f>
        <v/>
      </c>
      <c r="Q433" s="19" t="str">
        <f>IF(P433="a",TEXT(B433,"TT.MM.")&amp;" - ",IF(OR(P433="b",P433="y"),TEXT(B433,"TT.MM.")&amp;"; ",""))</f>
        <v/>
      </c>
      <c r="R433" s="124" t="str">
        <f>IF(I433="","",IF(AND(OR(J433="Krankenstand",J433="Urlaub",J433=""), AND(G433=0,NOT(I433=""))),Datenblatt!$B$7,""))</f>
        <v/>
      </c>
      <c r="S433" s="19" t="str">
        <f>IF(OR(J433="Krankenstand",J433="Urlaub"),"",IF(J433="","",VLOOKUP(D433,Dienste!C:W,21,)))</f>
        <v/>
      </c>
      <c r="T433" s="18" t="str">
        <f>IF(OR(J433="Krankenstand",J433="Urlaub"),"",IF(J433="","",VLOOKUP(D433,Dienste!C:W,5,)))</f>
        <v/>
      </c>
      <c r="U433" s="18" t="str">
        <f>IF(OR(J433="Krankenstand",J433="Urlaub"),"",IF(J433="","",VLOOKUP(D433,Dienste!C:W,6,)))</f>
        <v/>
      </c>
      <c r="V433" s="18" t="str">
        <f>IF(OR(J433="Krankenstand",J433="Urlaub"),"",IF(J433="","",VLOOKUP(D433,Dienste!C:W,7,)))</f>
        <v/>
      </c>
      <c r="W433" s="18" t="str">
        <f>IF(OR(J433="Krankenstand",J433="Urlaub"),"",IF(J433="","",VLOOKUP(D433,Dienste!C:W,11,)))</f>
        <v/>
      </c>
      <c r="X433" s="18" t="str">
        <f>IF(OR(J433="Krankenstand",J433="Urlaub"),"",IF(J433="","",VLOOKUP(D433,Dienste!C:W,12,)))</f>
        <v/>
      </c>
      <c r="Y433" s="19" t="str">
        <f>IF(OR(J433="Krankenstand",J433="Urlaub"),"",IF(J433="","",VLOOKUP(D433,Dienste!C:W,14,)))</f>
        <v/>
      </c>
      <c r="Z433" s="20" t="str">
        <f>IF(OR(J433="Krankenstand",J433="Urlaub"),"",IF(J433="","",VLOOKUP(D433,Dienste!C:W,15,)))</f>
        <v/>
      </c>
      <c r="AA433" s="124" t="str">
        <f t="shared" ref="AA433:AA461" si="211">IF(OR(Y433="",NOT(AB433="")),"",IF(AND(Y433&lt;AE434,AE434&gt;0),Y433,IF(AE434&gt;0,AE434,"")))</f>
        <v/>
      </c>
      <c r="AB433" s="19" t="str">
        <f t="shared" ref="AB433:AB463" si="212">IF(I433="","",Y433)</f>
        <v/>
      </c>
      <c r="AC433" s="126" t="str">
        <f>_xlfn.CONCAT(_xlfn.CONCAT(IF(I433="","",_xlfn.CONCAT("FT: ",I433,IF(J433="","","; "))),IF(B433&lt;Datenblatt!$B$9,"",IF(B433="","",IF(NOT(J433=""),SUBSTITUTE(SUBSTITUTE(SUBSTITUTE(J433," mR","")," oR","")," O",""),"")))),IF(AF433="","",_xlfn.CONCAT(CHAR(10),"; ",AF433)))</f>
        <v/>
      </c>
      <c r="AD433" s="124" t="str">
        <f>IF(SUM(Y433,R433,M433,L433)&lt;=0,"",SUM(Y433,R433,M433,L433))</f>
        <v/>
      </c>
      <c r="AE433" s="19">
        <f t="shared" ref="AE433:AE462" si="213">IF(OR(Y433="",NOT(AB433="")),AE434,AE434-Y433)</f>
        <v>0</v>
      </c>
      <c r="AF433" s="156"/>
    </row>
    <row r="434" spans="1:32" s="9" customFormat="1" ht="13">
      <c r="B434" s="6">
        <f t="shared" ref="B434:B460" si="214">B433+1</f>
        <v>44897</v>
      </c>
      <c r="C434" s="45">
        <f>SMALL(Daten!W:W,COUNTIF(Daten!W:W,"&lt;"&amp;Stundenaufzeichnung!B434+1))</f>
        <v>44578</v>
      </c>
      <c r="D434" s="45" t="str">
        <f t="shared" si="209"/>
        <v/>
      </c>
      <c r="E434" s="8">
        <f t="shared" si="210"/>
        <v>7</v>
      </c>
      <c r="F434" s="8">
        <f t="shared" ref="F434:F460" si="215">MOD(E434+$F$3,7)+1</f>
        <v>5</v>
      </c>
      <c r="G434" s="8">
        <f>IF(B434="","",VLOOKUP(E434,Datenblatt!$L$2:$N$8,3,FALSE))</f>
        <v>0</v>
      </c>
      <c r="H434" s="8" t="str">
        <f t="shared" ref="H434:H463" si="216">IF(OR(G434=1),"x",IF(I434="","","x"))</f>
        <v/>
      </c>
      <c r="I434" s="11" t="str">
        <f>IFERROR(VLOOKUP(B434,Datenblatt!$E:$F,2,FALSE),"")</f>
        <v/>
      </c>
      <c r="J434" s="113"/>
      <c r="K434" s="19">
        <f>IF(B434&lt;Datenblatt!$B$9,"",IF(B434="","",IF(G434=0,Datenblatt!$B$7,"")))</f>
        <v>6.67</v>
      </c>
      <c r="L434" s="19" t="str">
        <f t="shared" ref="L434:L463" si="217">IF(AND(J434="Krankenstand",R434=""),K434,"")</f>
        <v/>
      </c>
      <c r="M434" s="124" t="str">
        <f t="shared" ref="M434:M463" si="218">IF(AND(J434="Urlaub",R434=""),K434,"")</f>
        <v/>
      </c>
      <c r="N434" s="124" t="str">
        <f>IF(AND(L434=Datenblatt!$B$7,NOT(L433=Datenblatt!$B$7),NOT(L435=Datenblatt!$B$7)),"y",IF(AND(L434=Datenblatt!$B$7,L435=Datenblatt!$B$7,NOT(L433=Datenblatt!$B$7)),"a",IF(AND(L434=Datenblatt!$B$7,L433=Datenblatt!$B$7,NOT(L435=Datenblatt!$B$7)),"b","")))</f>
        <v/>
      </c>
      <c r="O434" s="19" t="str">
        <f t="shared" ref="O434:O463" si="219">IF(N434="a",TEXT(B434,"TT.MM.")&amp;" - ",IF(OR(N434="b",N434="y"),TEXT(B434,"TT.MM.")&amp;"; ",""))</f>
        <v/>
      </c>
      <c r="P434" s="124" t="str">
        <f>IF(AND(M434=Datenblatt!$B$7,NOT(M433=Datenblatt!$B$7),NOT(M435=Datenblatt!$B$7)),"y",IF(AND(M434=Datenblatt!$B$7,M435=Datenblatt!$B$7,NOT(M433=Datenblatt!$B$7)),"a",IF(AND(M434=Datenblatt!$B$7,M433=Datenblatt!$B$7,NOT(M435=Datenblatt!$B$7)),"b","")))</f>
        <v/>
      </c>
      <c r="Q434" s="19" t="str">
        <f t="shared" ref="Q434:Q463" si="220">IF(P434="a",TEXT(B434,"TT.MM.")&amp;" - ",IF(OR(P434="b",P434="y"),TEXT(B434,"TT.MM.")&amp;"; ",""))</f>
        <v/>
      </c>
      <c r="R434" s="124" t="str">
        <f>IF(I434="","",IF(AND(OR(J434="Krankenstand",J434="Urlaub",J434=""), AND(G434=0,NOT(I434=""))),Datenblatt!$B$7,""))</f>
        <v/>
      </c>
      <c r="S434" s="19" t="str">
        <f>IF(OR(J434="Krankenstand",J434="Urlaub"),"",IF(J434="","",VLOOKUP(D434,Dienste!C:W,21,)))</f>
        <v/>
      </c>
      <c r="T434" s="18" t="str">
        <f>IF(OR(J434="Krankenstand",J434="Urlaub"),"",IF(J434="","",VLOOKUP(D434,Dienste!C:W,5,)))</f>
        <v/>
      </c>
      <c r="U434" s="18" t="str">
        <f>IF(OR(J434="Krankenstand",J434="Urlaub"),"",IF(J434="","",VLOOKUP(D434,Dienste!C:W,6,)))</f>
        <v/>
      </c>
      <c r="V434" s="18" t="str">
        <f>IF(OR(J434="Krankenstand",J434="Urlaub"),"",IF(J434="","",VLOOKUP(D434,Dienste!C:W,7,)))</f>
        <v/>
      </c>
      <c r="W434" s="18" t="str">
        <f>IF(OR(J434="Krankenstand",J434="Urlaub"),"",IF(J434="","",VLOOKUP(D434,Dienste!C:W,11,)))</f>
        <v/>
      </c>
      <c r="X434" s="18" t="str">
        <f>IF(OR(J434="Krankenstand",J434="Urlaub"),"",IF(J434="","",VLOOKUP(D434,Dienste!C:W,12,)))</f>
        <v/>
      </c>
      <c r="Y434" s="19" t="str">
        <f>IF(OR(J434="Krankenstand",J434="Urlaub"),"",IF(J434="","",VLOOKUP(D434,Dienste!C:W,14,)))</f>
        <v/>
      </c>
      <c r="Z434" s="20" t="str">
        <f>IF(OR(J434="Krankenstand",J434="Urlaub"),"",IF(J434="","",VLOOKUP(D434,Dienste!C:W,15,)))</f>
        <v/>
      </c>
      <c r="AA434" s="124" t="str">
        <f t="shared" si="211"/>
        <v/>
      </c>
      <c r="AB434" s="19" t="str">
        <f t="shared" si="212"/>
        <v/>
      </c>
      <c r="AC434" s="126" t="str">
        <f>_xlfn.CONCAT(_xlfn.CONCAT(IF(I434="","",_xlfn.CONCAT("FT: ",I434,IF(J434="","","; "))),IF(B434&lt;Datenblatt!$B$9,"",IF(B434="","",IF(NOT(J434=""),SUBSTITUTE(SUBSTITUTE(SUBSTITUTE(J434," mR","")," oR","")," O",""),"")))),IF(AF434="","",_xlfn.CONCAT(CHAR(10),"; ",AF434)))</f>
        <v/>
      </c>
      <c r="AD434" s="124" t="str">
        <f t="shared" ref="AD434:AD463" si="221">IF(SUM(Y434,R434,M434,L434)&lt;=0,"",SUM(Y434,R434,M434,L434))</f>
        <v/>
      </c>
      <c r="AE434" s="19">
        <f t="shared" si="213"/>
        <v>0</v>
      </c>
      <c r="AF434" s="156"/>
    </row>
    <row r="435" spans="1:32" s="9" customFormat="1" ht="13">
      <c r="B435" s="6">
        <f t="shared" si="214"/>
        <v>44898</v>
      </c>
      <c r="C435" s="45">
        <f>SMALL(Daten!W:W,COUNTIF(Daten!W:W,"&lt;"&amp;Stundenaufzeichnung!B435+1))</f>
        <v>44578</v>
      </c>
      <c r="D435" s="45" t="str">
        <f t="shared" si="209"/>
        <v/>
      </c>
      <c r="E435" s="8">
        <f t="shared" si="210"/>
        <v>1</v>
      </c>
      <c r="F435" s="8">
        <f t="shared" si="215"/>
        <v>6</v>
      </c>
      <c r="G435" s="8">
        <f>IF(B435="","",VLOOKUP(E435,Datenblatt!$L$2:$N$8,3,FALSE))</f>
        <v>0</v>
      </c>
      <c r="H435" s="8" t="str">
        <f t="shared" si="216"/>
        <v/>
      </c>
      <c r="I435" s="11" t="str">
        <f>IFERROR(VLOOKUP(B435,Datenblatt!$E:$F,2,FALSE),"")</f>
        <v/>
      </c>
      <c r="J435" s="113"/>
      <c r="K435" s="19">
        <f>IF(B435&lt;Datenblatt!$B$9,"",IF(B435="","",IF(G435=0,Datenblatt!$B$7,"")))</f>
        <v>6.67</v>
      </c>
      <c r="L435" s="19" t="str">
        <f t="shared" si="217"/>
        <v/>
      </c>
      <c r="M435" s="124" t="str">
        <f t="shared" si="218"/>
        <v/>
      </c>
      <c r="N435" s="124" t="str">
        <f>IF(AND(L435=Datenblatt!$B$7,NOT(L434=Datenblatt!$B$7),NOT(L436=Datenblatt!$B$7)),"y",IF(AND(L435=Datenblatt!$B$7,L436=Datenblatt!$B$7,NOT(L434=Datenblatt!$B$7)),"a",IF(AND(L435=Datenblatt!$B$7,L434=Datenblatt!$B$7,NOT(L436=Datenblatt!$B$7)),"b","")))</f>
        <v/>
      </c>
      <c r="O435" s="19" t="str">
        <f t="shared" si="219"/>
        <v/>
      </c>
      <c r="P435" s="124" t="str">
        <f>IF(AND(M435=Datenblatt!$B$7,NOT(M434=Datenblatt!$B$7),NOT(M436=Datenblatt!$B$7)),"y",IF(AND(M435=Datenblatt!$B$7,M436=Datenblatt!$B$7,NOT(M434=Datenblatt!$B$7)),"a",IF(AND(M435=Datenblatt!$B$7,M434=Datenblatt!$B$7,NOT(M436=Datenblatt!$B$7)),"b","")))</f>
        <v/>
      </c>
      <c r="Q435" s="19" t="str">
        <f t="shared" si="220"/>
        <v/>
      </c>
      <c r="R435" s="124" t="str">
        <f>IF(I435="","",IF(AND(OR(J435="Krankenstand",J435="Urlaub",J435=""), AND(G435=0,NOT(I435=""))),Datenblatt!$B$7,""))</f>
        <v/>
      </c>
      <c r="S435" s="19" t="str">
        <f>IF(OR(J435="Krankenstand",J435="Urlaub"),"",IF(J435="","",VLOOKUP(D435,Dienste!C:W,21,)))</f>
        <v/>
      </c>
      <c r="T435" s="18" t="str">
        <f>IF(OR(J435="Krankenstand",J435="Urlaub"),"",IF(J435="","",VLOOKUP(D435,Dienste!C:W,5,)))</f>
        <v/>
      </c>
      <c r="U435" s="18" t="str">
        <f>IF(OR(J435="Krankenstand",J435="Urlaub"),"",IF(J435="","",VLOOKUP(D435,Dienste!C:W,6,)))</f>
        <v/>
      </c>
      <c r="V435" s="18" t="str">
        <f>IF(OR(J435="Krankenstand",J435="Urlaub"),"",IF(J435="","",VLOOKUP(D435,Dienste!C:W,7,)))</f>
        <v/>
      </c>
      <c r="W435" s="18" t="str">
        <f>IF(OR(J435="Krankenstand",J435="Urlaub"),"",IF(J435="","",VLOOKUP(D435,Dienste!C:W,11,)))</f>
        <v/>
      </c>
      <c r="X435" s="18" t="str">
        <f>IF(OR(J435="Krankenstand",J435="Urlaub"),"",IF(J435="","",VLOOKUP(D435,Dienste!C:W,12,)))</f>
        <v/>
      </c>
      <c r="Y435" s="19" t="str">
        <f>IF(OR(J435="Krankenstand",J435="Urlaub"),"",IF(J435="","",VLOOKUP(D435,Dienste!C:W,14,)))</f>
        <v/>
      </c>
      <c r="Z435" s="20" t="str">
        <f>IF(OR(J435="Krankenstand",J435="Urlaub"),"",IF(J435="","",VLOOKUP(D435,Dienste!C:W,15,)))</f>
        <v/>
      </c>
      <c r="AA435" s="124" t="str">
        <f t="shared" si="211"/>
        <v/>
      </c>
      <c r="AB435" s="19" t="str">
        <f t="shared" si="212"/>
        <v/>
      </c>
      <c r="AC435" s="126" t="str">
        <f>_xlfn.CONCAT(_xlfn.CONCAT(IF(I435="","",_xlfn.CONCAT("FT: ",I435,IF(J435="","","; "))),IF(B435&lt;Datenblatt!$B$9,"",IF(B435="","",IF(NOT(J435=""),SUBSTITUTE(SUBSTITUTE(SUBSTITUTE(J435," mR","")," oR","")," O",""),"")))),IF(AF435="","",_xlfn.CONCAT(CHAR(10),"; ",AF435)))</f>
        <v/>
      </c>
      <c r="AD435" s="124" t="str">
        <f t="shared" si="221"/>
        <v/>
      </c>
      <c r="AE435" s="19">
        <f t="shared" si="213"/>
        <v>0</v>
      </c>
      <c r="AF435" s="156"/>
    </row>
    <row r="436" spans="1:32" s="9" customFormat="1" ht="13">
      <c r="B436" s="6">
        <f t="shared" si="214"/>
        <v>44899</v>
      </c>
      <c r="C436" s="45">
        <f>SMALL(Daten!W:W,COUNTIF(Daten!W:W,"&lt;"&amp;Stundenaufzeichnung!B436+1))</f>
        <v>44578</v>
      </c>
      <c r="D436" s="45" t="str">
        <f t="shared" si="209"/>
        <v/>
      </c>
      <c r="E436" s="8">
        <f t="shared" si="210"/>
        <v>2</v>
      </c>
      <c r="F436" s="8">
        <f t="shared" si="215"/>
        <v>7</v>
      </c>
      <c r="G436" s="8">
        <f>IF(B436="","",VLOOKUP(E436,Datenblatt!$L$2:$N$8,3,FALSE))</f>
        <v>1</v>
      </c>
      <c r="H436" s="8" t="str">
        <f t="shared" si="216"/>
        <v>x</v>
      </c>
      <c r="I436" s="11" t="str">
        <f>IFERROR(VLOOKUP(B436,Datenblatt!$E:$F,2,FALSE),"")</f>
        <v/>
      </c>
      <c r="J436" s="113"/>
      <c r="K436" s="19" t="str">
        <f>IF(B436&lt;Datenblatt!$B$9,"",IF(B436="","",IF(G436=0,Datenblatt!$B$7,"")))</f>
        <v/>
      </c>
      <c r="L436" s="19" t="str">
        <f t="shared" si="217"/>
        <v/>
      </c>
      <c r="M436" s="124" t="str">
        <f t="shared" si="218"/>
        <v/>
      </c>
      <c r="N436" s="124" t="str">
        <f>IF(AND(L436=Datenblatt!$B$7,NOT(L435=Datenblatt!$B$7),NOT(L437=Datenblatt!$B$7)),"y",IF(AND(L436=Datenblatt!$B$7,L437=Datenblatt!$B$7,NOT(L435=Datenblatt!$B$7)),"a",IF(AND(L436=Datenblatt!$B$7,L435=Datenblatt!$B$7,NOT(L437=Datenblatt!$B$7)),"b","")))</f>
        <v/>
      </c>
      <c r="O436" s="19" t="str">
        <f t="shared" si="219"/>
        <v/>
      </c>
      <c r="P436" s="124" t="str">
        <f>IF(AND(M436=Datenblatt!$B$7,NOT(M435=Datenblatt!$B$7),NOT(M437=Datenblatt!$B$7)),"y",IF(AND(M436=Datenblatt!$B$7,M437=Datenblatt!$B$7,NOT(M435=Datenblatt!$B$7)),"a",IF(AND(M436=Datenblatt!$B$7,M435=Datenblatt!$B$7,NOT(M437=Datenblatt!$B$7)),"b","")))</f>
        <v/>
      </c>
      <c r="Q436" s="19" t="str">
        <f t="shared" si="220"/>
        <v/>
      </c>
      <c r="R436" s="124" t="str">
        <f>IF(I436="","",IF(AND(OR(J436="Krankenstand",J436="Urlaub",J436=""), AND(G436=0,NOT(I436=""))),Datenblatt!$B$7,""))</f>
        <v/>
      </c>
      <c r="S436" s="19" t="str">
        <f>IF(OR(J436="Krankenstand",J436="Urlaub"),"",IF(J436="","",VLOOKUP(D436,Dienste!C:W,21,)))</f>
        <v/>
      </c>
      <c r="T436" s="18" t="str">
        <f>IF(OR(J436="Krankenstand",J436="Urlaub"),"",IF(J436="","",VLOOKUP(D436,Dienste!C:W,5,)))</f>
        <v/>
      </c>
      <c r="U436" s="18" t="str">
        <f>IF(OR(J436="Krankenstand",J436="Urlaub"),"",IF(J436="","",VLOOKUP(D436,Dienste!C:W,6,)))</f>
        <v/>
      </c>
      <c r="V436" s="18" t="str">
        <f>IF(OR(J436="Krankenstand",J436="Urlaub"),"",IF(J436="","",VLOOKUP(D436,Dienste!C:W,7,)))</f>
        <v/>
      </c>
      <c r="W436" s="18" t="str">
        <f>IF(OR(J436="Krankenstand",J436="Urlaub"),"",IF(J436="","",VLOOKUP(D436,Dienste!C:W,11,)))</f>
        <v/>
      </c>
      <c r="X436" s="18" t="str">
        <f>IF(OR(J436="Krankenstand",J436="Urlaub"),"",IF(J436="","",VLOOKUP(D436,Dienste!C:W,12,)))</f>
        <v/>
      </c>
      <c r="Y436" s="19" t="str">
        <f>IF(OR(J436="Krankenstand",J436="Urlaub"),"",IF(J436="","",VLOOKUP(D436,Dienste!C:W,14,)))</f>
        <v/>
      </c>
      <c r="Z436" s="20" t="str">
        <f>IF(OR(J436="Krankenstand",J436="Urlaub"),"",IF(J436="","",VLOOKUP(D436,Dienste!C:W,15,)))</f>
        <v/>
      </c>
      <c r="AA436" s="124" t="str">
        <f t="shared" si="211"/>
        <v/>
      </c>
      <c r="AB436" s="19" t="str">
        <f t="shared" si="212"/>
        <v/>
      </c>
      <c r="AC436" s="126" t="str">
        <f>_xlfn.CONCAT(_xlfn.CONCAT(IF(I436="","",_xlfn.CONCAT("FT: ",I436,IF(J436="","","; "))),IF(B436&lt;Datenblatt!$B$9,"",IF(B436="","",IF(NOT(J436=""),SUBSTITUTE(SUBSTITUTE(SUBSTITUTE(J436," mR","")," oR","")," O",""),"")))),IF(AF436="","",_xlfn.CONCAT(CHAR(10),"; ",AF436)))</f>
        <v/>
      </c>
      <c r="AD436" s="124" t="str">
        <f t="shared" si="221"/>
        <v/>
      </c>
      <c r="AE436" s="19">
        <f t="shared" si="213"/>
        <v>0</v>
      </c>
      <c r="AF436" s="156"/>
    </row>
    <row r="437" spans="1:32" s="9" customFormat="1" ht="13">
      <c r="B437" s="6">
        <f t="shared" si="214"/>
        <v>44900</v>
      </c>
      <c r="C437" s="45">
        <f>SMALL(Daten!W:W,COUNTIF(Daten!W:W,"&lt;"&amp;Stundenaufzeichnung!B437+1))</f>
        <v>44578</v>
      </c>
      <c r="D437" s="45" t="str">
        <f t="shared" si="209"/>
        <v/>
      </c>
      <c r="E437" s="8">
        <f t="shared" si="210"/>
        <v>3</v>
      </c>
      <c r="F437" s="8">
        <f t="shared" si="215"/>
        <v>1</v>
      </c>
      <c r="G437" s="8">
        <f>IF(B437="","",VLOOKUP(E437,Datenblatt!$L$2:$N$8,3,FALSE))</f>
        <v>0</v>
      </c>
      <c r="H437" s="8" t="str">
        <f t="shared" si="216"/>
        <v/>
      </c>
      <c r="I437" s="11" t="str">
        <f>IFERROR(VLOOKUP(B437,Datenblatt!$E:$F,2,FALSE),"")</f>
        <v/>
      </c>
      <c r="J437" s="113"/>
      <c r="K437" s="19">
        <f>IF(B437&lt;Datenblatt!$B$9,"",IF(B437="","",IF(G437=0,Datenblatt!$B$7,"")))</f>
        <v>6.67</v>
      </c>
      <c r="L437" s="19" t="str">
        <f t="shared" si="217"/>
        <v/>
      </c>
      <c r="M437" s="124" t="str">
        <f t="shared" si="218"/>
        <v/>
      </c>
      <c r="N437" s="124" t="str">
        <f>IF(AND(L437=Datenblatt!$B$7,NOT(L436=Datenblatt!$B$7),NOT(L438=Datenblatt!$B$7)),"y",IF(AND(L437=Datenblatt!$B$7,L438=Datenblatt!$B$7,NOT(L436=Datenblatt!$B$7)),"a",IF(AND(L437=Datenblatt!$B$7,L436=Datenblatt!$B$7,NOT(L438=Datenblatt!$B$7)),"b","")))</f>
        <v/>
      </c>
      <c r="O437" s="19" t="str">
        <f t="shared" si="219"/>
        <v/>
      </c>
      <c r="P437" s="124" t="str">
        <f>IF(AND(M437=Datenblatt!$B$7,NOT(M436=Datenblatt!$B$7),NOT(M438=Datenblatt!$B$7)),"y",IF(AND(M437=Datenblatt!$B$7,M438=Datenblatt!$B$7,NOT(M436=Datenblatt!$B$7)),"a",IF(AND(M437=Datenblatt!$B$7,M436=Datenblatt!$B$7,NOT(M438=Datenblatt!$B$7)),"b","")))</f>
        <v/>
      </c>
      <c r="Q437" s="19" t="str">
        <f t="shared" si="220"/>
        <v/>
      </c>
      <c r="R437" s="124" t="str">
        <f>IF(I437="","",IF(AND(OR(J437="Krankenstand",J437="Urlaub",J437=""), AND(G437=0,NOT(I437=""))),Datenblatt!$B$7,""))</f>
        <v/>
      </c>
      <c r="S437" s="19" t="str">
        <f>IF(OR(J437="Krankenstand",J437="Urlaub"),"",IF(J437="","",VLOOKUP(D437,Dienste!C:W,21,)))</f>
        <v/>
      </c>
      <c r="T437" s="18" t="str">
        <f>IF(OR(J437="Krankenstand",J437="Urlaub"),"",IF(J437="","",VLOOKUP(D437,Dienste!C:W,5,)))</f>
        <v/>
      </c>
      <c r="U437" s="18" t="str">
        <f>IF(OR(J437="Krankenstand",J437="Urlaub"),"",IF(J437="","",VLOOKUP(D437,Dienste!C:W,6,)))</f>
        <v/>
      </c>
      <c r="V437" s="18" t="str">
        <f>IF(OR(J437="Krankenstand",J437="Urlaub"),"",IF(J437="","",VLOOKUP(D437,Dienste!C:W,7,)))</f>
        <v/>
      </c>
      <c r="W437" s="18" t="str">
        <f>IF(OR(J437="Krankenstand",J437="Urlaub"),"",IF(J437="","",VLOOKUP(D437,Dienste!C:W,11,)))</f>
        <v/>
      </c>
      <c r="X437" s="18" t="str">
        <f>IF(OR(J437="Krankenstand",J437="Urlaub"),"",IF(J437="","",VLOOKUP(D437,Dienste!C:W,12,)))</f>
        <v/>
      </c>
      <c r="Y437" s="19" t="str">
        <f>IF(OR(J437="Krankenstand",J437="Urlaub"),"",IF(J437="","",VLOOKUP(D437,Dienste!C:W,14,)))</f>
        <v/>
      </c>
      <c r="Z437" s="20" t="str">
        <f>IF(OR(J437="Krankenstand",J437="Urlaub"),"",IF(J437="","",VLOOKUP(D437,Dienste!C:W,15,)))</f>
        <v/>
      </c>
      <c r="AA437" s="124" t="str">
        <f t="shared" si="211"/>
        <v/>
      </c>
      <c r="AB437" s="19" t="str">
        <f t="shared" si="212"/>
        <v/>
      </c>
      <c r="AC437" s="126" t="str">
        <f>_xlfn.CONCAT(_xlfn.CONCAT(IF(I437="","",_xlfn.CONCAT("FT: ",I437,IF(J437="","","; "))),IF(B437&lt;Datenblatt!$B$9,"",IF(B437="","",IF(NOT(J437=""),SUBSTITUTE(SUBSTITUTE(SUBSTITUTE(J437," mR","")," oR","")," O",""),"")))),IF(AF437="","",_xlfn.CONCAT(CHAR(10),"; ",AF437)))</f>
        <v/>
      </c>
      <c r="AD437" s="124" t="str">
        <f t="shared" si="221"/>
        <v/>
      </c>
      <c r="AE437" s="19">
        <f t="shared" si="213"/>
        <v>0</v>
      </c>
      <c r="AF437" s="156"/>
    </row>
    <row r="438" spans="1:32" s="9" customFormat="1" ht="13">
      <c r="B438" s="6">
        <f t="shared" si="214"/>
        <v>44901</v>
      </c>
      <c r="C438" s="45">
        <f>SMALL(Daten!W:W,COUNTIF(Daten!W:W,"&lt;"&amp;Stundenaufzeichnung!B438+1))</f>
        <v>44578</v>
      </c>
      <c r="D438" s="45" t="str">
        <f t="shared" si="209"/>
        <v/>
      </c>
      <c r="E438" s="8">
        <f t="shared" si="210"/>
        <v>4</v>
      </c>
      <c r="F438" s="8">
        <f t="shared" si="215"/>
        <v>2</v>
      </c>
      <c r="G438" s="8">
        <f>IF(B438="","",VLOOKUP(E438,Datenblatt!$L$2:$N$8,3,FALSE))</f>
        <v>0</v>
      </c>
      <c r="H438" s="8" t="str">
        <f t="shared" si="216"/>
        <v/>
      </c>
      <c r="I438" s="11" t="str">
        <f>IFERROR(VLOOKUP(B438,Datenblatt!$E:$F,2,FALSE),"")</f>
        <v/>
      </c>
      <c r="J438" s="113"/>
      <c r="K438" s="19">
        <f>IF(B438&lt;Datenblatt!$B$9,"",IF(B438="","",IF(G438=0,Datenblatt!$B$7,"")))</f>
        <v>6.67</v>
      </c>
      <c r="L438" s="19" t="str">
        <f t="shared" si="217"/>
        <v/>
      </c>
      <c r="M438" s="124" t="str">
        <f t="shared" si="218"/>
        <v/>
      </c>
      <c r="N438" s="124" t="str">
        <f>IF(AND(L438=Datenblatt!$B$7,NOT(L437=Datenblatt!$B$7),NOT(L439=Datenblatt!$B$7)),"y",IF(AND(L438=Datenblatt!$B$7,L439=Datenblatt!$B$7,NOT(L437=Datenblatt!$B$7)),"a",IF(AND(L438=Datenblatt!$B$7,L437=Datenblatt!$B$7,NOT(L439=Datenblatt!$B$7)),"b","")))</f>
        <v/>
      </c>
      <c r="O438" s="19" t="str">
        <f t="shared" si="219"/>
        <v/>
      </c>
      <c r="P438" s="124" t="str">
        <f>IF(AND(M438=Datenblatt!$B$7,NOT(M437=Datenblatt!$B$7),NOT(M439=Datenblatt!$B$7)),"y",IF(AND(M438=Datenblatt!$B$7,M439=Datenblatt!$B$7,NOT(M437=Datenblatt!$B$7)),"a",IF(AND(M438=Datenblatt!$B$7,M437=Datenblatt!$B$7,NOT(M439=Datenblatt!$B$7)),"b","")))</f>
        <v/>
      </c>
      <c r="Q438" s="19" t="str">
        <f t="shared" si="220"/>
        <v/>
      </c>
      <c r="R438" s="124" t="str">
        <f>IF(I438="","",IF(AND(OR(J438="Krankenstand",J438="Urlaub",J438=""), AND(G438=0,NOT(I438=""))),Datenblatt!$B$7,""))</f>
        <v/>
      </c>
      <c r="S438" s="19" t="str">
        <f>IF(OR(J438="Krankenstand",J438="Urlaub"),"",IF(J438="","",VLOOKUP(D438,Dienste!C:W,21,)))</f>
        <v/>
      </c>
      <c r="T438" s="18" t="str">
        <f>IF(OR(J438="Krankenstand",J438="Urlaub"),"",IF(J438="","",VLOOKUP(D438,Dienste!C:W,5,)))</f>
        <v/>
      </c>
      <c r="U438" s="18" t="str">
        <f>IF(OR(J438="Krankenstand",J438="Urlaub"),"",IF(J438="","",VLOOKUP(D438,Dienste!C:W,6,)))</f>
        <v/>
      </c>
      <c r="V438" s="18" t="str">
        <f>IF(OR(J438="Krankenstand",J438="Urlaub"),"",IF(J438="","",VLOOKUP(D438,Dienste!C:W,7,)))</f>
        <v/>
      </c>
      <c r="W438" s="18" t="str">
        <f>IF(OR(J438="Krankenstand",J438="Urlaub"),"",IF(J438="","",VLOOKUP(D438,Dienste!C:W,11,)))</f>
        <v/>
      </c>
      <c r="X438" s="18" t="str">
        <f>IF(OR(J438="Krankenstand",J438="Urlaub"),"",IF(J438="","",VLOOKUP(D438,Dienste!C:W,12,)))</f>
        <v/>
      </c>
      <c r="Y438" s="19" t="str">
        <f>IF(OR(J438="Krankenstand",J438="Urlaub"),"",IF(J438="","",VLOOKUP(D438,Dienste!C:W,14,)))</f>
        <v/>
      </c>
      <c r="Z438" s="20" t="str">
        <f>IF(OR(J438="Krankenstand",J438="Urlaub"),"",IF(J438="","",VLOOKUP(D438,Dienste!C:W,15,)))</f>
        <v/>
      </c>
      <c r="AA438" s="124" t="str">
        <f t="shared" si="211"/>
        <v/>
      </c>
      <c r="AB438" s="19" t="str">
        <f t="shared" si="212"/>
        <v/>
      </c>
      <c r="AC438" s="126" t="str">
        <f>_xlfn.CONCAT(_xlfn.CONCAT(IF(I438="","",_xlfn.CONCAT("FT: ",I438,IF(J438="","","; "))),IF(B438&lt;Datenblatt!$B$9,"",IF(B438="","",IF(NOT(J438=""),SUBSTITUTE(SUBSTITUTE(SUBSTITUTE(J438," mR","")," oR","")," O",""),"")))),IF(AF438="","",_xlfn.CONCAT(CHAR(10),"; ",AF438)))</f>
        <v/>
      </c>
      <c r="AD438" s="124" t="str">
        <f t="shared" si="221"/>
        <v/>
      </c>
      <c r="AE438" s="19">
        <f t="shared" si="213"/>
        <v>0</v>
      </c>
      <c r="AF438" s="156"/>
    </row>
    <row r="439" spans="1:32" s="9" customFormat="1" ht="13">
      <c r="B439" s="6">
        <f t="shared" si="214"/>
        <v>44902</v>
      </c>
      <c r="C439" s="45">
        <f>SMALL(Daten!W:W,COUNTIF(Daten!W:W,"&lt;"&amp;Stundenaufzeichnung!B439+1))</f>
        <v>44578</v>
      </c>
      <c r="D439" s="45" t="str">
        <f t="shared" si="209"/>
        <v/>
      </c>
      <c r="E439" s="8">
        <f t="shared" si="210"/>
        <v>5</v>
      </c>
      <c r="F439" s="8">
        <f t="shared" si="215"/>
        <v>3</v>
      </c>
      <c r="G439" s="8">
        <f>IF(B439="","",VLOOKUP(E439,Datenblatt!$L$2:$N$8,3,FALSE))</f>
        <v>0</v>
      </c>
      <c r="H439" s="8" t="str">
        <f t="shared" si="216"/>
        <v/>
      </c>
      <c r="I439" s="11" t="str">
        <f>IFERROR(VLOOKUP(B439,Datenblatt!$E:$F,2,FALSE),"")</f>
        <v/>
      </c>
      <c r="J439" s="113"/>
      <c r="K439" s="19">
        <f>IF(B439&lt;Datenblatt!$B$9,"",IF(B439="","",IF(G439=0,Datenblatt!$B$7,"")))</f>
        <v>6.67</v>
      </c>
      <c r="L439" s="19" t="str">
        <f t="shared" si="217"/>
        <v/>
      </c>
      <c r="M439" s="124" t="str">
        <f t="shared" si="218"/>
        <v/>
      </c>
      <c r="N439" s="124" t="str">
        <f>IF(AND(L439=Datenblatt!$B$7,NOT(L438=Datenblatt!$B$7),NOT(L440=Datenblatt!$B$7)),"y",IF(AND(L439=Datenblatt!$B$7,L440=Datenblatt!$B$7,NOT(L438=Datenblatt!$B$7)),"a",IF(AND(L439=Datenblatt!$B$7,L438=Datenblatt!$B$7,NOT(L440=Datenblatt!$B$7)),"b","")))</f>
        <v/>
      </c>
      <c r="O439" s="19" t="str">
        <f t="shared" si="219"/>
        <v/>
      </c>
      <c r="P439" s="124" t="str">
        <f>IF(AND(M439=Datenblatt!$B$7,NOT(M438=Datenblatt!$B$7),NOT(M440=Datenblatt!$B$7)),"y",IF(AND(M439=Datenblatt!$B$7,M440=Datenblatt!$B$7,NOT(M438=Datenblatt!$B$7)),"a",IF(AND(M439=Datenblatt!$B$7,M438=Datenblatt!$B$7,NOT(M440=Datenblatt!$B$7)),"b","")))</f>
        <v/>
      </c>
      <c r="Q439" s="19" t="str">
        <f t="shared" si="220"/>
        <v/>
      </c>
      <c r="R439" s="124" t="str">
        <f>IF(I439="","",IF(AND(OR(J439="Krankenstand",J439="Urlaub",J439=""), AND(G439=0,NOT(I439=""))),Datenblatt!$B$7,""))</f>
        <v/>
      </c>
      <c r="S439" s="19" t="str">
        <f>IF(OR(J439="Krankenstand",J439="Urlaub"),"",IF(J439="","",VLOOKUP(D439,Dienste!C:W,21,)))</f>
        <v/>
      </c>
      <c r="T439" s="18" t="str">
        <f>IF(OR(J439="Krankenstand",J439="Urlaub"),"",IF(J439="","",VLOOKUP(D439,Dienste!C:W,5,)))</f>
        <v/>
      </c>
      <c r="U439" s="18" t="str">
        <f>IF(OR(J439="Krankenstand",J439="Urlaub"),"",IF(J439="","",VLOOKUP(D439,Dienste!C:W,6,)))</f>
        <v/>
      </c>
      <c r="V439" s="18" t="str">
        <f>IF(OR(J439="Krankenstand",J439="Urlaub"),"",IF(J439="","",VLOOKUP(D439,Dienste!C:W,7,)))</f>
        <v/>
      </c>
      <c r="W439" s="18" t="str">
        <f>IF(OR(J439="Krankenstand",J439="Urlaub"),"",IF(J439="","",VLOOKUP(D439,Dienste!C:W,11,)))</f>
        <v/>
      </c>
      <c r="X439" s="18" t="str">
        <f>IF(OR(J439="Krankenstand",J439="Urlaub"),"",IF(J439="","",VLOOKUP(D439,Dienste!C:W,12,)))</f>
        <v/>
      </c>
      <c r="Y439" s="19" t="str">
        <f>IF(OR(J439="Krankenstand",J439="Urlaub"),"",IF(J439="","",VLOOKUP(D439,Dienste!C:W,14,)))</f>
        <v/>
      </c>
      <c r="Z439" s="20" t="str">
        <f>IF(OR(J439="Krankenstand",J439="Urlaub"),"",IF(J439="","",VLOOKUP(D439,Dienste!C:W,15,)))</f>
        <v/>
      </c>
      <c r="AA439" s="124" t="str">
        <f t="shared" si="211"/>
        <v/>
      </c>
      <c r="AB439" s="19" t="str">
        <f t="shared" si="212"/>
        <v/>
      </c>
      <c r="AC439" s="126" t="str">
        <f>_xlfn.CONCAT(_xlfn.CONCAT(IF(I439="","",_xlfn.CONCAT("FT: ",I439,IF(J439="","","; "))),IF(B439&lt;Datenblatt!$B$9,"",IF(B439="","",IF(NOT(J439=""),SUBSTITUTE(SUBSTITUTE(SUBSTITUTE(J439," mR","")," oR","")," O",""),"")))),IF(AF439="","",_xlfn.CONCAT(CHAR(10),"; ",AF439)))</f>
        <v/>
      </c>
      <c r="AD439" s="124" t="str">
        <f t="shared" si="221"/>
        <v/>
      </c>
      <c r="AE439" s="19">
        <f t="shared" si="213"/>
        <v>0</v>
      </c>
      <c r="AF439" s="156"/>
    </row>
    <row r="440" spans="1:32" s="9" customFormat="1" ht="13">
      <c r="B440" s="6">
        <f t="shared" si="214"/>
        <v>44903</v>
      </c>
      <c r="C440" s="45">
        <f>SMALL(Daten!W:W,COUNTIF(Daten!W:W,"&lt;"&amp;Stundenaufzeichnung!B440+1))</f>
        <v>44578</v>
      </c>
      <c r="D440" s="45" t="str">
        <f t="shared" si="209"/>
        <v/>
      </c>
      <c r="E440" s="8">
        <f t="shared" si="210"/>
        <v>6</v>
      </c>
      <c r="F440" s="8">
        <f t="shared" si="215"/>
        <v>4</v>
      </c>
      <c r="G440" s="8">
        <f>IF(B440="","",VLOOKUP(E440,Datenblatt!$L$2:$N$8,3,FALSE))</f>
        <v>0</v>
      </c>
      <c r="H440" s="8" t="str">
        <f t="shared" si="216"/>
        <v>x</v>
      </c>
      <c r="I440" s="11" t="str">
        <f>IFERROR(VLOOKUP(B440,Datenblatt!$E:$F,2,FALSE),"")</f>
        <v>Maria Empfängnis</v>
      </c>
      <c r="J440" s="113"/>
      <c r="K440" s="19">
        <f>IF(B440&lt;Datenblatt!$B$9,"",IF(B440="","",IF(G440=0,Datenblatt!$B$7,"")))</f>
        <v>6.67</v>
      </c>
      <c r="L440" s="19" t="str">
        <f t="shared" si="217"/>
        <v/>
      </c>
      <c r="M440" s="124" t="str">
        <f t="shared" si="218"/>
        <v/>
      </c>
      <c r="N440" s="124" t="str">
        <f>IF(AND(L440=Datenblatt!$B$7,NOT(L439=Datenblatt!$B$7),NOT(L441=Datenblatt!$B$7)),"y",IF(AND(L440=Datenblatt!$B$7,L441=Datenblatt!$B$7,NOT(L439=Datenblatt!$B$7)),"a",IF(AND(L440=Datenblatt!$B$7,L439=Datenblatt!$B$7,NOT(L441=Datenblatt!$B$7)),"b","")))</f>
        <v/>
      </c>
      <c r="O440" s="19" t="str">
        <f t="shared" si="219"/>
        <v/>
      </c>
      <c r="P440" s="124" t="str">
        <f>IF(AND(M440=Datenblatt!$B$7,NOT(M439=Datenblatt!$B$7),NOT(M441=Datenblatt!$B$7)),"y",IF(AND(M440=Datenblatt!$B$7,M441=Datenblatt!$B$7,NOT(M439=Datenblatt!$B$7)),"a",IF(AND(M440=Datenblatt!$B$7,M439=Datenblatt!$B$7,NOT(M441=Datenblatt!$B$7)),"b","")))</f>
        <v/>
      </c>
      <c r="Q440" s="19" t="str">
        <f t="shared" si="220"/>
        <v/>
      </c>
      <c r="R440" s="124">
        <f>IF(I440="","",IF(AND(OR(J440="Krankenstand",J440="Urlaub",J440=""), AND(G440=0,NOT(I440=""))),Datenblatt!$B$7,""))</f>
        <v>6.67</v>
      </c>
      <c r="S440" s="19" t="str">
        <f>IF(OR(J440="Krankenstand",J440="Urlaub"),"",IF(J440="","",VLOOKUP(D440,Dienste!C:W,21,)))</f>
        <v/>
      </c>
      <c r="T440" s="18" t="str">
        <f>IF(OR(J440="Krankenstand",J440="Urlaub"),"",IF(J440="","",VLOOKUP(D440,Dienste!C:W,5,)))</f>
        <v/>
      </c>
      <c r="U440" s="18" t="str">
        <f>IF(OR(J440="Krankenstand",J440="Urlaub"),"",IF(J440="","",VLOOKUP(D440,Dienste!C:W,6,)))</f>
        <v/>
      </c>
      <c r="V440" s="18" t="str">
        <f>IF(OR(J440="Krankenstand",J440="Urlaub"),"",IF(J440="","",VLOOKUP(D440,Dienste!C:W,7,)))</f>
        <v/>
      </c>
      <c r="W440" s="18" t="str">
        <f>IF(OR(J440="Krankenstand",J440="Urlaub"),"",IF(J440="","",VLOOKUP(D440,Dienste!C:W,11,)))</f>
        <v/>
      </c>
      <c r="X440" s="18" t="str">
        <f>IF(OR(J440="Krankenstand",J440="Urlaub"),"",IF(J440="","",VLOOKUP(D440,Dienste!C:W,12,)))</f>
        <v/>
      </c>
      <c r="Y440" s="19" t="str">
        <f>IF(OR(J440="Krankenstand",J440="Urlaub"),"",IF(J440="","",VLOOKUP(D440,Dienste!C:W,14,)))</f>
        <v/>
      </c>
      <c r="Z440" s="20" t="str">
        <f>IF(OR(J440="Krankenstand",J440="Urlaub"),"",IF(J440="","",VLOOKUP(D440,Dienste!C:W,15,)))</f>
        <v/>
      </c>
      <c r="AA440" s="124" t="str">
        <f t="shared" si="211"/>
        <v/>
      </c>
      <c r="AB440" s="19" t="str">
        <f t="shared" si="212"/>
        <v/>
      </c>
      <c r="AC440" s="126" t="str">
        <f>_xlfn.CONCAT(_xlfn.CONCAT(IF(I440="","",_xlfn.CONCAT("FT: ",I440,IF(J440="","","; "))),IF(B440&lt;Datenblatt!$B$9,"",IF(B440="","",IF(NOT(J440=""),SUBSTITUTE(SUBSTITUTE(SUBSTITUTE(J440," mR","")," oR","")," O",""),"")))),IF(AF440="","",_xlfn.CONCAT(CHAR(10),"; ",AF440)))</f>
        <v>FT: Maria Empfängnis</v>
      </c>
      <c r="AD440" s="124">
        <f t="shared" si="221"/>
        <v>6.67</v>
      </c>
      <c r="AE440" s="19">
        <f t="shared" si="213"/>
        <v>0</v>
      </c>
      <c r="AF440" s="156"/>
    </row>
    <row r="441" spans="1:32" s="9" customFormat="1" ht="13">
      <c r="B441" s="6">
        <f t="shared" si="214"/>
        <v>44904</v>
      </c>
      <c r="C441" s="45">
        <f>SMALL(Daten!W:W,COUNTIF(Daten!W:W,"&lt;"&amp;Stundenaufzeichnung!B441+1))</f>
        <v>44578</v>
      </c>
      <c r="D441" s="45" t="str">
        <f t="shared" si="209"/>
        <v/>
      </c>
      <c r="E441" s="8">
        <f t="shared" si="210"/>
        <v>7</v>
      </c>
      <c r="F441" s="8">
        <f t="shared" si="215"/>
        <v>5</v>
      </c>
      <c r="G441" s="8">
        <f>IF(B441="","",VLOOKUP(E441,Datenblatt!$L$2:$N$8,3,FALSE))</f>
        <v>0</v>
      </c>
      <c r="H441" s="8" t="str">
        <f t="shared" si="216"/>
        <v/>
      </c>
      <c r="I441" s="11" t="str">
        <f>IFERROR(VLOOKUP(B441,Datenblatt!$E:$F,2,FALSE),"")</f>
        <v/>
      </c>
      <c r="J441" s="113"/>
      <c r="K441" s="19">
        <f>IF(B441&lt;Datenblatt!$B$9,"",IF(B441="","",IF(G441=0,Datenblatt!$B$7,"")))</f>
        <v>6.67</v>
      </c>
      <c r="L441" s="19" t="str">
        <f t="shared" si="217"/>
        <v/>
      </c>
      <c r="M441" s="124" t="str">
        <f t="shared" si="218"/>
        <v/>
      </c>
      <c r="N441" s="124" t="str">
        <f>IF(AND(L441=Datenblatt!$B$7,NOT(L440=Datenblatt!$B$7),NOT(L442=Datenblatt!$B$7)),"y",IF(AND(L441=Datenblatt!$B$7,L442=Datenblatt!$B$7,NOT(L440=Datenblatt!$B$7)),"a",IF(AND(L441=Datenblatt!$B$7,L440=Datenblatt!$B$7,NOT(L442=Datenblatt!$B$7)),"b","")))</f>
        <v/>
      </c>
      <c r="O441" s="19" t="str">
        <f t="shared" si="219"/>
        <v/>
      </c>
      <c r="P441" s="124" t="str">
        <f>IF(AND(M441=Datenblatt!$B$7,NOT(M440=Datenblatt!$B$7),NOT(M442=Datenblatt!$B$7)),"y",IF(AND(M441=Datenblatt!$B$7,M442=Datenblatt!$B$7,NOT(M440=Datenblatt!$B$7)),"a",IF(AND(M441=Datenblatt!$B$7,M440=Datenblatt!$B$7,NOT(M442=Datenblatt!$B$7)),"b","")))</f>
        <v/>
      </c>
      <c r="Q441" s="19" t="str">
        <f t="shared" si="220"/>
        <v/>
      </c>
      <c r="R441" s="124" t="str">
        <f>IF(I441="","",IF(AND(OR(J441="Krankenstand",J441="Urlaub",J441=""), AND(G441=0,NOT(I441=""))),Datenblatt!$B$7,""))</f>
        <v/>
      </c>
      <c r="S441" s="19" t="str">
        <f>IF(OR(J441="Krankenstand",J441="Urlaub"),"",IF(J441="","",VLOOKUP(D441,Dienste!C:W,21,)))</f>
        <v/>
      </c>
      <c r="T441" s="18" t="str">
        <f>IF(OR(J441="Krankenstand",J441="Urlaub"),"",IF(J441="","",VLOOKUP(D441,Dienste!C:W,5,)))</f>
        <v/>
      </c>
      <c r="U441" s="18" t="str">
        <f>IF(OR(J441="Krankenstand",J441="Urlaub"),"",IF(J441="","",VLOOKUP(D441,Dienste!C:W,6,)))</f>
        <v/>
      </c>
      <c r="V441" s="18" t="str">
        <f>IF(OR(J441="Krankenstand",J441="Urlaub"),"",IF(J441="","",VLOOKUP(D441,Dienste!C:W,7,)))</f>
        <v/>
      </c>
      <c r="W441" s="18" t="str">
        <f>IF(OR(J441="Krankenstand",J441="Urlaub"),"",IF(J441="","",VLOOKUP(D441,Dienste!C:W,11,)))</f>
        <v/>
      </c>
      <c r="X441" s="18" t="str">
        <f>IF(OR(J441="Krankenstand",J441="Urlaub"),"",IF(J441="","",VLOOKUP(D441,Dienste!C:W,12,)))</f>
        <v/>
      </c>
      <c r="Y441" s="19" t="str">
        <f>IF(OR(J441="Krankenstand",J441="Urlaub"),"",IF(J441="","",VLOOKUP(D441,Dienste!C:W,14,)))</f>
        <v/>
      </c>
      <c r="Z441" s="20" t="str">
        <f>IF(OR(J441="Krankenstand",J441="Urlaub"),"",IF(J441="","",VLOOKUP(D441,Dienste!C:W,15,)))</f>
        <v/>
      </c>
      <c r="AA441" s="124" t="str">
        <f t="shared" si="211"/>
        <v/>
      </c>
      <c r="AB441" s="19" t="str">
        <f t="shared" si="212"/>
        <v/>
      </c>
      <c r="AC441" s="126" t="str">
        <f>_xlfn.CONCAT(_xlfn.CONCAT(IF(I441="","",_xlfn.CONCAT("FT: ",I441,IF(J441="","","; "))),IF(B441&lt;Datenblatt!$B$9,"",IF(B441="","",IF(NOT(J441=""),SUBSTITUTE(SUBSTITUTE(SUBSTITUTE(J441," mR","")," oR","")," O",""),"")))),IF(AF441="","",_xlfn.CONCAT(CHAR(10),"; ",AF441)))</f>
        <v/>
      </c>
      <c r="AD441" s="124" t="str">
        <f t="shared" si="221"/>
        <v/>
      </c>
      <c r="AE441" s="19">
        <f t="shared" si="213"/>
        <v>0</v>
      </c>
      <c r="AF441" s="156"/>
    </row>
    <row r="442" spans="1:32" s="9" customFormat="1" ht="13">
      <c r="B442" s="6">
        <f t="shared" si="214"/>
        <v>44905</v>
      </c>
      <c r="C442" s="45">
        <f>SMALL(Daten!W:W,COUNTIF(Daten!W:W,"&lt;"&amp;Stundenaufzeichnung!B442+1))</f>
        <v>44578</v>
      </c>
      <c r="D442" s="45" t="str">
        <f t="shared" si="209"/>
        <v/>
      </c>
      <c r="E442" s="8">
        <f t="shared" si="210"/>
        <v>1</v>
      </c>
      <c r="F442" s="8">
        <f t="shared" si="215"/>
        <v>6</v>
      </c>
      <c r="G442" s="8">
        <f>IF(B442="","",VLOOKUP(E442,Datenblatt!$L$2:$N$8,3,FALSE))</f>
        <v>0</v>
      </c>
      <c r="H442" s="8" t="str">
        <f t="shared" si="216"/>
        <v/>
      </c>
      <c r="I442" s="11" t="str">
        <f>IFERROR(VLOOKUP(B442,Datenblatt!$E:$F,2,FALSE),"")</f>
        <v/>
      </c>
      <c r="J442" s="113"/>
      <c r="K442" s="19">
        <f>IF(B442&lt;Datenblatt!$B$9,"",IF(B442="","",IF(G442=0,Datenblatt!$B$7,"")))</f>
        <v>6.67</v>
      </c>
      <c r="L442" s="19" t="str">
        <f t="shared" si="217"/>
        <v/>
      </c>
      <c r="M442" s="124" t="str">
        <f t="shared" si="218"/>
        <v/>
      </c>
      <c r="N442" s="124" t="str">
        <f>IF(AND(L442=Datenblatt!$B$7,NOT(L441=Datenblatt!$B$7),NOT(L443=Datenblatt!$B$7)),"y",IF(AND(L442=Datenblatt!$B$7,L443=Datenblatt!$B$7,NOT(L441=Datenblatt!$B$7)),"a",IF(AND(L442=Datenblatt!$B$7,L441=Datenblatt!$B$7,NOT(L443=Datenblatt!$B$7)),"b","")))</f>
        <v/>
      </c>
      <c r="O442" s="19" t="str">
        <f t="shared" si="219"/>
        <v/>
      </c>
      <c r="P442" s="124" t="str">
        <f>IF(AND(M442=Datenblatt!$B$7,NOT(M441=Datenblatt!$B$7),NOT(M443=Datenblatt!$B$7)),"y",IF(AND(M442=Datenblatt!$B$7,M443=Datenblatt!$B$7,NOT(M441=Datenblatt!$B$7)),"a",IF(AND(M442=Datenblatt!$B$7,M441=Datenblatt!$B$7,NOT(M443=Datenblatt!$B$7)),"b","")))</f>
        <v/>
      </c>
      <c r="Q442" s="19" t="str">
        <f t="shared" si="220"/>
        <v/>
      </c>
      <c r="R442" s="124" t="str">
        <f>IF(I442="","",IF(AND(OR(J442="Krankenstand",J442="Urlaub",J442=""), AND(G442=0,NOT(I442=""))),Datenblatt!$B$7,""))</f>
        <v/>
      </c>
      <c r="S442" s="19" t="str">
        <f>IF(OR(J442="Krankenstand",J442="Urlaub"),"",IF(J442="","",VLOOKUP(D442,Dienste!C:W,21,)))</f>
        <v/>
      </c>
      <c r="T442" s="18" t="str">
        <f>IF(OR(J442="Krankenstand",J442="Urlaub"),"",IF(J442="","",VLOOKUP(D442,Dienste!C:W,5,)))</f>
        <v/>
      </c>
      <c r="U442" s="18" t="str">
        <f>IF(OR(J442="Krankenstand",J442="Urlaub"),"",IF(J442="","",VLOOKUP(D442,Dienste!C:W,6,)))</f>
        <v/>
      </c>
      <c r="V442" s="18" t="str">
        <f>IF(OR(J442="Krankenstand",J442="Urlaub"),"",IF(J442="","",VLOOKUP(D442,Dienste!C:W,7,)))</f>
        <v/>
      </c>
      <c r="W442" s="18" t="str">
        <f>IF(OR(J442="Krankenstand",J442="Urlaub"),"",IF(J442="","",VLOOKUP(D442,Dienste!C:W,11,)))</f>
        <v/>
      </c>
      <c r="X442" s="18" t="str">
        <f>IF(OR(J442="Krankenstand",J442="Urlaub"),"",IF(J442="","",VLOOKUP(D442,Dienste!C:W,12,)))</f>
        <v/>
      </c>
      <c r="Y442" s="19" t="str">
        <f>IF(OR(J442="Krankenstand",J442="Urlaub"),"",IF(J442="","",VLOOKUP(D442,Dienste!C:W,14,)))</f>
        <v/>
      </c>
      <c r="Z442" s="20" t="str">
        <f>IF(OR(J442="Krankenstand",J442="Urlaub"),"",IF(J442="","",VLOOKUP(D442,Dienste!C:W,15,)))</f>
        <v/>
      </c>
      <c r="AA442" s="124" t="str">
        <f t="shared" si="211"/>
        <v/>
      </c>
      <c r="AB442" s="19" t="str">
        <f t="shared" si="212"/>
        <v/>
      </c>
      <c r="AC442" s="126" t="str">
        <f>_xlfn.CONCAT(_xlfn.CONCAT(IF(I442="","",_xlfn.CONCAT("FT: ",I442,IF(J442="","","; "))),IF(B442&lt;Datenblatt!$B$9,"",IF(B442="","",IF(NOT(J442=""),SUBSTITUTE(SUBSTITUTE(SUBSTITUTE(J442," mR","")," oR","")," O",""),"")))),IF(AF442="","",_xlfn.CONCAT(CHAR(10),"; ",AF442)))</f>
        <v/>
      </c>
      <c r="AD442" s="124" t="str">
        <f t="shared" si="221"/>
        <v/>
      </c>
      <c r="AE442" s="19">
        <f t="shared" si="213"/>
        <v>0</v>
      </c>
      <c r="AF442" s="156"/>
    </row>
    <row r="443" spans="1:32" s="9" customFormat="1" ht="13">
      <c r="B443" s="6">
        <f t="shared" si="214"/>
        <v>44906</v>
      </c>
      <c r="C443" s="45">
        <f>SMALL(Daten!W:W,COUNTIF(Daten!W:W,"&lt;"&amp;Stundenaufzeichnung!B443+1))</f>
        <v>44578</v>
      </c>
      <c r="D443" s="45" t="str">
        <f t="shared" si="209"/>
        <v/>
      </c>
      <c r="E443" s="8">
        <f t="shared" si="210"/>
        <v>2</v>
      </c>
      <c r="F443" s="8">
        <f t="shared" si="215"/>
        <v>7</v>
      </c>
      <c r="G443" s="8">
        <f>IF(B443="","",VLOOKUP(E443,Datenblatt!$L$2:$N$8,3,FALSE))</f>
        <v>1</v>
      </c>
      <c r="H443" s="8" t="str">
        <f t="shared" si="216"/>
        <v>x</v>
      </c>
      <c r="I443" s="11" t="str">
        <f>IFERROR(VLOOKUP(B443,Datenblatt!$E:$F,2,FALSE),"")</f>
        <v/>
      </c>
      <c r="J443" s="113"/>
      <c r="K443" s="19" t="str">
        <f>IF(B443&lt;Datenblatt!$B$9,"",IF(B443="","",IF(G443=0,Datenblatt!$B$7,"")))</f>
        <v/>
      </c>
      <c r="L443" s="19" t="str">
        <f t="shared" si="217"/>
        <v/>
      </c>
      <c r="M443" s="124" t="str">
        <f t="shared" si="218"/>
        <v/>
      </c>
      <c r="N443" s="124" t="str">
        <f>IF(AND(L443=Datenblatt!$B$7,NOT(L442=Datenblatt!$B$7),NOT(L444=Datenblatt!$B$7)),"y",IF(AND(L443=Datenblatt!$B$7,L444=Datenblatt!$B$7,NOT(L442=Datenblatt!$B$7)),"a",IF(AND(L443=Datenblatt!$B$7,L442=Datenblatt!$B$7,NOT(L444=Datenblatt!$B$7)),"b","")))</f>
        <v/>
      </c>
      <c r="O443" s="19" t="str">
        <f t="shared" si="219"/>
        <v/>
      </c>
      <c r="P443" s="124" t="str">
        <f>IF(AND(M443=Datenblatt!$B$7,NOT(M442=Datenblatt!$B$7),NOT(M444=Datenblatt!$B$7)),"y",IF(AND(M443=Datenblatt!$B$7,M444=Datenblatt!$B$7,NOT(M442=Datenblatt!$B$7)),"a",IF(AND(M443=Datenblatt!$B$7,M442=Datenblatt!$B$7,NOT(M444=Datenblatt!$B$7)),"b","")))</f>
        <v/>
      </c>
      <c r="Q443" s="19" t="str">
        <f t="shared" si="220"/>
        <v/>
      </c>
      <c r="R443" s="124" t="str">
        <f>IF(I443="","",IF(AND(OR(J443="Krankenstand",J443="Urlaub",J443=""), AND(G443=0,NOT(I443=""))),Datenblatt!$B$7,""))</f>
        <v/>
      </c>
      <c r="S443" s="19" t="str">
        <f>IF(OR(J443="Krankenstand",J443="Urlaub"),"",IF(J443="","",VLOOKUP(D443,Dienste!C:W,21,)))</f>
        <v/>
      </c>
      <c r="T443" s="18" t="str">
        <f>IF(OR(J443="Krankenstand",J443="Urlaub"),"",IF(J443="","",VLOOKUP(D443,Dienste!C:W,5,)))</f>
        <v/>
      </c>
      <c r="U443" s="18" t="str">
        <f>IF(OR(J443="Krankenstand",J443="Urlaub"),"",IF(J443="","",VLOOKUP(D443,Dienste!C:W,6,)))</f>
        <v/>
      </c>
      <c r="V443" s="18" t="str">
        <f>IF(OR(J443="Krankenstand",J443="Urlaub"),"",IF(J443="","",VLOOKUP(D443,Dienste!C:W,7,)))</f>
        <v/>
      </c>
      <c r="W443" s="18" t="str">
        <f>IF(OR(J443="Krankenstand",J443="Urlaub"),"",IF(J443="","",VLOOKUP(D443,Dienste!C:W,11,)))</f>
        <v/>
      </c>
      <c r="X443" s="18" t="str">
        <f>IF(OR(J443="Krankenstand",J443="Urlaub"),"",IF(J443="","",VLOOKUP(D443,Dienste!C:W,12,)))</f>
        <v/>
      </c>
      <c r="Y443" s="19" t="str">
        <f>IF(OR(J443="Krankenstand",J443="Urlaub"),"",IF(J443="","",VLOOKUP(D443,Dienste!C:W,14,)))</f>
        <v/>
      </c>
      <c r="Z443" s="20" t="str">
        <f>IF(OR(J443="Krankenstand",J443="Urlaub"),"",IF(J443="","",VLOOKUP(D443,Dienste!C:W,15,)))</f>
        <v/>
      </c>
      <c r="AA443" s="124" t="str">
        <f t="shared" si="211"/>
        <v/>
      </c>
      <c r="AB443" s="19" t="str">
        <f t="shared" si="212"/>
        <v/>
      </c>
      <c r="AC443" s="126" t="str">
        <f>_xlfn.CONCAT(_xlfn.CONCAT(IF(I443="","",_xlfn.CONCAT("FT: ",I443,IF(J443="","","; "))),IF(B443&lt;Datenblatt!$B$9,"",IF(B443="","",IF(NOT(J443=""),SUBSTITUTE(SUBSTITUTE(SUBSTITUTE(J443," mR","")," oR","")," O",""),"")))),IF(AF443="","",_xlfn.CONCAT(CHAR(10),"; ",AF443)))</f>
        <v/>
      </c>
      <c r="AD443" s="124" t="str">
        <f t="shared" si="221"/>
        <v/>
      </c>
      <c r="AE443" s="19">
        <f t="shared" si="213"/>
        <v>0</v>
      </c>
      <c r="AF443" s="156"/>
    </row>
    <row r="444" spans="1:32" s="9" customFormat="1" ht="13">
      <c r="B444" s="6">
        <f t="shared" si="214"/>
        <v>44907</v>
      </c>
      <c r="C444" s="45">
        <f>SMALL(Daten!W:W,COUNTIF(Daten!W:W,"&lt;"&amp;Stundenaufzeichnung!B444+1))</f>
        <v>44578</v>
      </c>
      <c r="D444" s="45" t="str">
        <f t="shared" si="209"/>
        <v/>
      </c>
      <c r="E444" s="8">
        <f t="shared" si="210"/>
        <v>3</v>
      </c>
      <c r="F444" s="8">
        <f t="shared" si="215"/>
        <v>1</v>
      </c>
      <c r="G444" s="8">
        <f>IF(B444="","",VLOOKUP(E444,Datenblatt!$L$2:$N$8,3,FALSE))</f>
        <v>0</v>
      </c>
      <c r="H444" s="8" t="str">
        <f t="shared" si="216"/>
        <v/>
      </c>
      <c r="I444" s="11" t="str">
        <f>IFERROR(VLOOKUP(B444,Datenblatt!$E:$F,2,FALSE),"")</f>
        <v/>
      </c>
      <c r="J444" s="113"/>
      <c r="K444" s="19">
        <f>IF(B444&lt;Datenblatt!$B$9,"",IF(B444="","",IF(G444=0,Datenblatt!$B$7,"")))</f>
        <v>6.67</v>
      </c>
      <c r="L444" s="19" t="str">
        <f t="shared" si="217"/>
        <v/>
      </c>
      <c r="M444" s="124" t="str">
        <f t="shared" si="218"/>
        <v/>
      </c>
      <c r="N444" s="124" t="str">
        <f>IF(AND(L444=Datenblatt!$B$7,NOT(L443=Datenblatt!$B$7),NOT(L445=Datenblatt!$B$7)),"y",IF(AND(L444=Datenblatt!$B$7,L445=Datenblatt!$B$7,NOT(L443=Datenblatt!$B$7)),"a",IF(AND(L444=Datenblatt!$B$7,L443=Datenblatt!$B$7,NOT(L445=Datenblatt!$B$7)),"b","")))</f>
        <v/>
      </c>
      <c r="O444" s="19" t="str">
        <f t="shared" si="219"/>
        <v/>
      </c>
      <c r="P444" s="124" t="str">
        <f>IF(AND(M444=Datenblatt!$B$7,NOT(M443=Datenblatt!$B$7),NOT(M445=Datenblatt!$B$7)),"y",IF(AND(M444=Datenblatt!$B$7,M445=Datenblatt!$B$7,NOT(M443=Datenblatt!$B$7)),"a",IF(AND(M444=Datenblatt!$B$7,M443=Datenblatt!$B$7,NOT(M445=Datenblatt!$B$7)),"b","")))</f>
        <v/>
      </c>
      <c r="Q444" s="19" t="str">
        <f t="shared" si="220"/>
        <v/>
      </c>
      <c r="R444" s="124" t="str">
        <f>IF(I444="","",IF(AND(OR(J444="Krankenstand",J444="Urlaub",J444=""), AND(G444=0,NOT(I444=""))),Datenblatt!$B$7,""))</f>
        <v/>
      </c>
      <c r="S444" s="19" t="str">
        <f>IF(OR(J444="Krankenstand",J444="Urlaub"),"",IF(J444="","",VLOOKUP(D444,Dienste!C:W,21,)))</f>
        <v/>
      </c>
      <c r="T444" s="18" t="str">
        <f>IF(OR(J444="Krankenstand",J444="Urlaub"),"",IF(J444="","",VLOOKUP(D444,Dienste!C:W,5,)))</f>
        <v/>
      </c>
      <c r="U444" s="18" t="str">
        <f>IF(OR(J444="Krankenstand",J444="Urlaub"),"",IF(J444="","",VLOOKUP(D444,Dienste!C:W,6,)))</f>
        <v/>
      </c>
      <c r="V444" s="18" t="str">
        <f>IF(OR(J444="Krankenstand",J444="Urlaub"),"",IF(J444="","",VLOOKUP(D444,Dienste!C:W,7,)))</f>
        <v/>
      </c>
      <c r="W444" s="18" t="str">
        <f>IF(OR(J444="Krankenstand",J444="Urlaub"),"",IF(J444="","",VLOOKUP(D444,Dienste!C:W,11,)))</f>
        <v/>
      </c>
      <c r="X444" s="18" t="str">
        <f>IF(OR(J444="Krankenstand",J444="Urlaub"),"",IF(J444="","",VLOOKUP(D444,Dienste!C:W,12,)))</f>
        <v/>
      </c>
      <c r="Y444" s="19" t="str">
        <f>IF(OR(J444="Krankenstand",J444="Urlaub"),"",IF(J444="","",VLOOKUP(D444,Dienste!C:W,14,)))</f>
        <v/>
      </c>
      <c r="Z444" s="20" t="str">
        <f>IF(OR(J444="Krankenstand",J444="Urlaub"),"",IF(J444="","",VLOOKUP(D444,Dienste!C:W,15,)))</f>
        <v/>
      </c>
      <c r="AA444" s="124" t="str">
        <f t="shared" si="211"/>
        <v/>
      </c>
      <c r="AB444" s="19" t="str">
        <f t="shared" si="212"/>
        <v/>
      </c>
      <c r="AC444" s="126" t="str">
        <f>_xlfn.CONCAT(_xlfn.CONCAT(IF(I444="","",_xlfn.CONCAT("FT: ",I444,IF(J444="","","; "))),IF(B444&lt;Datenblatt!$B$9,"",IF(B444="","",IF(NOT(J444=""),SUBSTITUTE(SUBSTITUTE(SUBSTITUTE(J444," mR","")," oR","")," O",""),"")))),IF(AF444="","",_xlfn.CONCAT(CHAR(10),"; ",AF444)))</f>
        <v/>
      </c>
      <c r="AD444" s="124" t="str">
        <f t="shared" si="221"/>
        <v/>
      </c>
      <c r="AE444" s="19">
        <f t="shared" si="213"/>
        <v>0</v>
      </c>
      <c r="AF444" s="156"/>
    </row>
    <row r="445" spans="1:32" s="9" customFormat="1" ht="13">
      <c r="B445" s="6">
        <f t="shared" si="214"/>
        <v>44908</v>
      </c>
      <c r="C445" s="45">
        <f>SMALL(Daten!W:W,COUNTIF(Daten!W:W,"&lt;"&amp;Stundenaufzeichnung!B445+1))</f>
        <v>44578</v>
      </c>
      <c r="D445" s="45" t="str">
        <f t="shared" si="209"/>
        <v/>
      </c>
      <c r="E445" s="8">
        <f t="shared" si="210"/>
        <v>4</v>
      </c>
      <c r="F445" s="8">
        <f t="shared" si="215"/>
        <v>2</v>
      </c>
      <c r="G445" s="8">
        <f>IF(B445="","",VLOOKUP(E445,Datenblatt!$L$2:$N$8,3,FALSE))</f>
        <v>0</v>
      </c>
      <c r="H445" s="8" t="str">
        <f t="shared" si="216"/>
        <v/>
      </c>
      <c r="I445" s="11" t="str">
        <f>IFERROR(VLOOKUP(B445,Datenblatt!$E:$F,2,FALSE),"")</f>
        <v/>
      </c>
      <c r="J445" s="113"/>
      <c r="K445" s="19">
        <f>IF(B445&lt;Datenblatt!$B$9,"",IF(B445="","",IF(G445=0,Datenblatt!$B$7,"")))</f>
        <v>6.67</v>
      </c>
      <c r="L445" s="19" t="str">
        <f t="shared" si="217"/>
        <v/>
      </c>
      <c r="M445" s="124" t="str">
        <f t="shared" si="218"/>
        <v/>
      </c>
      <c r="N445" s="124" t="str">
        <f>IF(AND(L445=Datenblatt!$B$7,NOT(L444=Datenblatt!$B$7),NOT(L446=Datenblatt!$B$7)),"y",IF(AND(L445=Datenblatt!$B$7,L446=Datenblatt!$B$7,NOT(L444=Datenblatt!$B$7)),"a",IF(AND(L445=Datenblatt!$B$7,L444=Datenblatt!$B$7,NOT(L446=Datenblatt!$B$7)),"b","")))</f>
        <v/>
      </c>
      <c r="O445" s="19" t="str">
        <f t="shared" si="219"/>
        <v/>
      </c>
      <c r="P445" s="124" t="str">
        <f>IF(AND(M445=Datenblatt!$B$7,NOT(M444=Datenblatt!$B$7),NOT(M446=Datenblatt!$B$7)),"y",IF(AND(M445=Datenblatt!$B$7,M446=Datenblatt!$B$7,NOT(M444=Datenblatt!$B$7)),"a",IF(AND(M445=Datenblatt!$B$7,M444=Datenblatt!$B$7,NOT(M446=Datenblatt!$B$7)),"b","")))</f>
        <v/>
      </c>
      <c r="Q445" s="19" t="str">
        <f t="shared" si="220"/>
        <v/>
      </c>
      <c r="R445" s="124" t="str">
        <f>IF(I445="","",IF(AND(OR(J445="Krankenstand",J445="Urlaub",J445=""), AND(G445=0,NOT(I445=""))),Datenblatt!$B$7,""))</f>
        <v/>
      </c>
      <c r="S445" s="19" t="str">
        <f>IF(OR(J445="Krankenstand",J445="Urlaub"),"",IF(J445="","",VLOOKUP(D445,Dienste!C:W,21,)))</f>
        <v/>
      </c>
      <c r="T445" s="18" t="str">
        <f>IF(OR(J445="Krankenstand",J445="Urlaub"),"",IF(J445="","",VLOOKUP(D445,Dienste!C:W,5,)))</f>
        <v/>
      </c>
      <c r="U445" s="18" t="str">
        <f>IF(OR(J445="Krankenstand",J445="Urlaub"),"",IF(J445="","",VLOOKUP(D445,Dienste!C:W,6,)))</f>
        <v/>
      </c>
      <c r="V445" s="18" t="str">
        <f>IF(OR(J445="Krankenstand",J445="Urlaub"),"",IF(J445="","",VLOOKUP(D445,Dienste!C:W,7,)))</f>
        <v/>
      </c>
      <c r="W445" s="18" t="str">
        <f>IF(OR(J445="Krankenstand",J445="Urlaub"),"",IF(J445="","",VLOOKUP(D445,Dienste!C:W,11,)))</f>
        <v/>
      </c>
      <c r="X445" s="18" t="str">
        <f>IF(OR(J445="Krankenstand",J445="Urlaub"),"",IF(J445="","",VLOOKUP(D445,Dienste!C:W,12,)))</f>
        <v/>
      </c>
      <c r="Y445" s="19" t="str">
        <f>IF(OR(J445="Krankenstand",J445="Urlaub"),"",IF(J445="","",VLOOKUP(D445,Dienste!C:W,14,)))</f>
        <v/>
      </c>
      <c r="Z445" s="20" t="str">
        <f>IF(OR(J445="Krankenstand",J445="Urlaub"),"",IF(J445="","",VLOOKUP(D445,Dienste!C:W,15,)))</f>
        <v/>
      </c>
      <c r="AA445" s="124" t="str">
        <f t="shared" si="211"/>
        <v/>
      </c>
      <c r="AB445" s="19" t="str">
        <f t="shared" si="212"/>
        <v/>
      </c>
      <c r="AC445" s="126" t="str">
        <f>_xlfn.CONCAT(_xlfn.CONCAT(IF(I445="","",_xlfn.CONCAT("FT: ",I445,IF(J445="","","; "))),IF(B445&lt;Datenblatt!$B$9,"",IF(B445="","",IF(NOT(J445=""),SUBSTITUTE(SUBSTITUTE(SUBSTITUTE(J445," mR","")," oR","")," O",""),"")))),IF(AF445="","",_xlfn.CONCAT(CHAR(10),"; ",AF445)))</f>
        <v/>
      </c>
      <c r="AD445" s="124" t="str">
        <f t="shared" si="221"/>
        <v/>
      </c>
      <c r="AE445" s="19">
        <f t="shared" si="213"/>
        <v>0</v>
      </c>
      <c r="AF445" s="156"/>
    </row>
    <row r="446" spans="1:32" s="9" customFormat="1" ht="13">
      <c r="B446" s="6">
        <f t="shared" si="214"/>
        <v>44909</v>
      </c>
      <c r="C446" s="45">
        <f>SMALL(Daten!W:W,COUNTIF(Daten!W:W,"&lt;"&amp;Stundenaufzeichnung!B446+1))</f>
        <v>44578</v>
      </c>
      <c r="D446" s="45" t="str">
        <f t="shared" si="209"/>
        <v/>
      </c>
      <c r="E446" s="8">
        <f t="shared" si="210"/>
        <v>5</v>
      </c>
      <c r="F446" s="8">
        <f t="shared" si="215"/>
        <v>3</v>
      </c>
      <c r="G446" s="8">
        <f>IF(B446="","",VLOOKUP(E446,Datenblatt!$L$2:$N$8,3,FALSE))</f>
        <v>0</v>
      </c>
      <c r="H446" s="8" t="str">
        <f t="shared" si="216"/>
        <v/>
      </c>
      <c r="I446" s="11" t="str">
        <f>IFERROR(VLOOKUP(B446,Datenblatt!$E:$F,2,FALSE),"")</f>
        <v/>
      </c>
      <c r="J446" s="113"/>
      <c r="K446" s="19">
        <f>IF(B446&lt;Datenblatt!$B$9,"",IF(B446="","",IF(G446=0,Datenblatt!$B$7,"")))</f>
        <v>6.67</v>
      </c>
      <c r="L446" s="19" t="str">
        <f t="shared" si="217"/>
        <v/>
      </c>
      <c r="M446" s="124" t="str">
        <f t="shared" si="218"/>
        <v/>
      </c>
      <c r="N446" s="124" t="str">
        <f>IF(AND(L446=Datenblatt!$B$7,NOT(L445=Datenblatt!$B$7),NOT(L447=Datenblatt!$B$7)),"y",IF(AND(L446=Datenblatt!$B$7,L447=Datenblatt!$B$7,NOT(L445=Datenblatt!$B$7)),"a",IF(AND(L446=Datenblatt!$B$7,L445=Datenblatt!$B$7,NOT(L447=Datenblatt!$B$7)),"b","")))</f>
        <v/>
      </c>
      <c r="O446" s="19" t="str">
        <f t="shared" si="219"/>
        <v/>
      </c>
      <c r="P446" s="124" t="str">
        <f>IF(AND(M446=Datenblatt!$B$7,NOT(M445=Datenblatt!$B$7),NOT(M447=Datenblatt!$B$7)),"y",IF(AND(M446=Datenblatt!$B$7,M447=Datenblatt!$B$7,NOT(M445=Datenblatt!$B$7)),"a",IF(AND(M446=Datenblatt!$B$7,M445=Datenblatt!$B$7,NOT(M447=Datenblatt!$B$7)),"b","")))</f>
        <v/>
      </c>
      <c r="Q446" s="19" t="str">
        <f t="shared" si="220"/>
        <v/>
      </c>
      <c r="R446" s="124" t="str">
        <f>IF(I446="","",IF(AND(OR(J446="Krankenstand",J446="Urlaub",J446=""), AND(G446=0,NOT(I446=""))),Datenblatt!$B$7,""))</f>
        <v/>
      </c>
      <c r="S446" s="19" t="str">
        <f>IF(OR(J446="Krankenstand",J446="Urlaub"),"",IF(J446="","",VLOOKUP(D446,Dienste!C:W,21,)))</f>
        <v/>
      </c>
      <c r="T446" s="18" t="str">
        <f>IF(OR(J446="Krankenstand",J446="Urlaub"),"",IF(J446="","",VLOOKUP(D446,Dienste!C:W,5,)))</f>
        <v/>
      </c>
      <c r="U446" s="18" t="str">
        <f>IF(OR(J446="Krankenstand",J446="Urlaub"),"",IF(J446="","",VLOOKUP(D446,Dienste!C:W,6,)))</f>
        <v/>
      </c>
      <c r="V446" s="18" t="str">
        <f>IF(OR(J446="Krankenstand",J446="Urlaub"),"",IF(J446="","",VLOOKUP(D446,Dienste!C:W,7,)))</f>
        <v/>
      </c>
      <c r="W446" s="18" t="str">
        <f>IF(OR(J446="Krankenstand",J446="Urlaub"),"",IF(J446="","",VLOOKUP(D446,Dienste!C:W,11,)))</f>
        <v/>
      </c>
      <c r="X446" s="18" t="str">
        <f>IF(OR(J446="Krankenstand",J446="Urlaub"),"",IF(J446="","",VLOOKUP(D446,Dienste!C:W,12,)))</f>
        <v/>
      </c>
      <c r="Y446" s="19" t="str">
        <f>IF(OR(J446="Krankenstand",J446="Urlaub"),"",IF(J446="","",VLOOKUP(D446,Dienste!C:W,14,)))</f>
        <v/>
      </c>
      <c r="Z446" s="20" t="str">
        <f>IF(OR(J446="Krankenstand",J446="Urlaub"),"",IF(J446="","",VLOOKUP(D446,Dienste!C:W,15,)))</f>
        <v/>
      </c>
      <c r="AA446" s="124" t="str">
        <f t="shared" si="211"/>
        <v/>
      </c>
      <c r="AB446" s="19" t="str">
        <f t="shared" si="212"/>
        <v/>
      </c>
      <c r="AC446" s="126" t="str">
        <f>_xlfn.CONCAT(_xlfn.CONCAT(IF(I446="","",_xlfn.CONCAT("FT: ",I446,IF(J446="","","; "))),IF(B446&lt;Datenblatt!$B$9,"",IF(B446="","",IF(NOT(J446=""),SUBSTITUTE(SUBSTITUTE(SUBSTITUTE(J446," mR","")," oR","")," O",""),"")))),IF(AF446="","",_xlfn.CONCAT(CHAR(10),"; ",AF446)))</f>
        <v/>
      </c>
      <c r="AD446" s="124" t="str">
        <f t="shared" si="221"/>
        <v/>
      </c>
      <c r="AE446" s="19">
        <f t="shared" si="213"/>
        <v>0</v>
      </c>
      <c r="AF446" s="156"/>
    </row>
    <row r="447" spans="1:32" s="9" customFormat="1" ht="13">
      <c r="B447" s="6">
        <f t="shared" si="214"/>
        <v>44910</v>
      </c>
      <c r="C447" s="45">
        <f>SMALL(Daten!W:W,COUNTIF(Daten!W:W,"&lt;"&amp;Stundenaufzeichnung!B447+1))</f>
        <v>44578</v>
      </c>
      <c r="D447" s="45" t="str">
        <f t="shared" si="209"/>
        <v/>
      </c>
      <c r="E447" s="8">
        <f t="shared" si="210"/>
        <v>6</v>
      </c>
      <c r="F447" s="8">
        <f t="shared" si="215"/>
        <v>4</v>
      </c>
      <c r="G447" s="8">
        <f>IF(B447="","",VLOOKUP(E447,Datenblatt!$L$2:$N$8,3,FALSE))</f>
        <v>0</v>
      </c>
      <c r="H447" s="8" t="str">
        <f t="shared" si="216"/>
        <v/>
      </c>
      <c r="I447" s="11" t="str">
        <f>IFERROR(VLOOKUP(B447,Datenblatt!$E:$F,2,FALSE),"")</f>
        <v/>
      </c>
      <c r="J447" s="113"/>
      <c r="K447" s="19">
        <f>IF(B447&lt;Datenblatt!$B$9,"",IF(B447="","",IF(G447=0,Datenblatt!$B$7,"")))</f>
        <v>6.67</v>
      </c>
      <c r="L447" s="19" t="str">
        <f t="shared" si="217"/>
        <v/>
      </c>
      <c r="M447" s="124" t="str">
        <f t="shared" si="218"/>
        <v/>
      </c>
      <c r="N447" s="124" t="str">
        <f>IF(AND(L447=Datenblatt!$B$7,NOT(L446=Datenblatt!$B$7),NOT(L448=Datenblatt!$B$7)),"y",IF(AND(L447=Datenblatt!$B$7,L448=Datenblatt!$B$7,NOT(L446=Datenblatt!$B$7)),"a",IF(AND(L447=Datenblatt!$B$7,L446=Datenblatt!$B$7,NOT(L448=Datenblatt!$B$7)),"b","")))</f>
        <v/>
      </c>
      <c r="O447" s="19" t="str">
        <f t="shared" si="219"/>
        <v/>
      </c>
      <c r="P447" s="124" t="str">
        <f>IF(AND(M447=Datenblatt!$B$7,NOT(M446=Datenblatt!$B$7),NOT(M448=Datenblatt!$B$7)),"y",IF(AND(M447=Datenblatt!$B$7,M448=Datenblatt!$B$7,NOT(M446=Datenblatt!$B$7)),"a",IF(AND(M447=Datenblatt!$B$7,M446=Datenblatt!$B$7,NOT(M448=Datenblatt!$B$7)),"b","")))</f>
        <v/>
      </c>
      <c r="Q447" s="19" t="str">
        <f t="shared" si="220"/>
        <v/>
      </c>
      <c r="R447" s="124" t="str">
        <f>IF(I447="","",IF(AND(OR(J447="Krankenstand",J447="Urlaub",J447=""), AND(G447=0,NOT(I447=""))),Datenblatt!$B$7,""))</f>
        <v/>
      </c>
      <c r="S447" s="19" t="str">
        <f>IF(OR(J447="Krankenstand",J447="Urlaub"),"",IF(J447="","",VLOOKUP(D447,Dienste!C:W,21,)))</f>
        <v/>
      </c>
      <c r="T447" s="18" t="str">
        <f>IF(OR(J447="Krankenstand",J447="Urlaub"),"",IF(J447="","",VLOOKUP(D447,Dienste!C:W,5,)))</f>
        <v/>
      </c>
      <c r="U447" s="18" t="str">
        <f>IF(OR(J447="Krankenstand",J447="Urlaub"),"",IF(J447="","",VLOOKUP(D447,Dienste!C:W,6,)))</f>
        <v/>
      </c>
      <c r="V447" s="18" t="str">
        <f>IF(OR(J447="Krankenstand",J447="Urlaub"),"",IF(J447="","",VLOOKUP(D447,Dienste!C:W,7,)))</f>
        <v/>
      </c>
      <c r="W447" s="18" t="str">
        <f>IF(OR(J447="Krankenstand",J447="Urlaub"),"",IF(J447="","",VLOOKUP(D447,Dienste!C:W,11,)))</f>
        <v/>
      </c>
      <c r="X447" s="18" t="str">
        <f>IF(OR(J447="Krankenstand",J447="Urlaub"),"",IF(J447="","",VLOOKUP(D447,Dienste!C:W,12,)))</f>
        <v/>
      </c>
      <c r="Y447" s="19" t="str">
        <f>IF(OR(J447="Krankenstand",J447="Urlaub"),"",IF(J447="","",VLOOKUP(D447,Dienste!C:W,14,)))</f>
        <v/>
      </c>
      <c r="Z447" s="20" t="str">
        <f>IF(OR(J447="Krankenstand",J447="Urlaub"),"",IF(J447="","",VLOOKUP(D447,Dienste!C:W,15,)))</f>
        <v/>
      </c>
      <c r="AA447" s="124" t="str">
        <f t="shared" si="211"/>
        <v/>
      </c>
      <c r="AB447" s="19" t="str">
        <f t="shared" si="212"/>
        <v/>
      </c>
      <c r="AC447" s="126" t="str">
        <f>_xlfn.CONCAT(_xlfn.CONCAT(IF(I447="","",_xlfn.CONCAT("FT: ",I447,IF(J447="","","; "))),IF(B447&lt;Datenblatt!$B$9,"",IF(B447="","",IF(NOT(J447=""),SUBSTITUTE(SUBSTITUTE(SUBSTITUTE(J447," mR","")," oR","")," O",""),"")))),IF(AF447="","",_xlfn.CONCAT(CHAR(10),"; ",AF447)))</f>
        <v/>
      </c>
      <c r="AD447" s="124" t="str">
        <f t="shared" si="221"/>
        <v/>
      </c>
      <c r="AE447" s="19">
        <f t="shared" si="213"/>
        <v>0</v>
      </c>
      <c r="AF447" s="156"/>
    </row>
    <row r="448" spans="1:32" s="9" customFormat="1" ht="13">
      <c r="B448" s="6">
        <f t="shared" si="214"/>
        <v>44911</v>
      </c>
      <c r="C448" s="45">
        <f>SMALL(Daten!W:W,COUNTIF(Daten!W:W,"&lt;"&amp;Stundenaufzeichnung!B448+1))</f>
        <v>44578</v>
      </c>
      <c r="D448" s="45" t="str">
        <f t="shared" si="209"/>
        <v/>
      </c>
      <c r="E448" s="8">
        <f t="shared" si="210"/>
        <v>7</v>
      </c>
      <c r="F448" s="8">
        <f t="shared" si="215"/>
        <v>5</v>
      </c>
      <c r="G448" s="8">
        <f>IF(B448="","",VLOOKUP(E448,Datenblatt!$L$2:$N$8,3,FALSE))</f>
        <v>0</v>
      </c>
      <c r="H448" s="8" t="str">
        <f t="shared" si="216"/>
        <v/>
      </c>
      <c r="I448" s="11" t="str">
        <f>IFERROR(VLOOKUP(B448,Datenblatt!$E:$F,2,FALSE),"")</f>
        <v/>
      </c>
      <c r="J448" s="113"/>
      <c r="K448" s="19">
        <f>IF(B448&lt;Datenblatt!$B$9,"",IF(B448="","",IF(G448=0,Datenblatt!$B$7,"")))</f>
        <v>6.67</v>
      </c>
      <c r="L448" s="19" t="str">
        <f t="shared" si="217"/>
        <v/>
      </c>
      <c r="M448" s="124" t="str">
        <f t="shared" si="218"/>
        <v/>
      </c>
      <c r="N448" s="124" t="str">
        <f>IF(AND(L448=Datenblatt!$B$7,NOT(L447=Datenblatt!$B$7),NOT(L449=Datenblatt!$B$7)),"y",IF(AND(L448=Datenblatt!$B$7,L449=Datenblatt!$B$7,NOT(L447=Datenblatt!$B$7)),"a",IF(AND(L448=Datenblatt!$B$7,L447=Datenblatt!$B$7,NOT(L449=Datenblatt!$B$7)),"b","")))</f>
        <v/>
      </c>
      <c r="O448" s="19" t="str">
        <f t="shared" si="219"/>
        <v/>
      </c>
      <c r="P448" s="124" t="str">
        <f>IF(AND(M448=Datenblatt!$B$7,NOT(M447=Datenblatt!$B$7),NOT(M449=Datenblatt!$B$7)),"y",IF(AND(M448=Datenblatt!$B$7,M449=Datenblatt!$B$7,NOT(M447=Datenblatt!$B$7)),"a",IF(AND(M448=Datenblatt!$B$7,M447=Datenblatt!$B$7,NOT(M449=Datenblatt!$B$7)),"b","")))</f>
        <v/>
      </c>
      <c r="Q448" s="19" t="str">
        <f t="shared" si="220"/>
        <v/>
      </c>
      <c r="R448" s="124" t="str">
        <f>IF(I448="","",IF(AND(OR(J448="Krankenstand",J448="Urlaub",J448=""), AND(G448=0,NOT(I448=""))),Datenblatt!$B$7,""))</f>
        <v/>
      </c>
      <c r="S448" s="19" t="str">
        <f>IF(OR(J448="Krankenstand",J448="Urlaub"),"",IF(J448="","",VLOOKUP(D448,Dienste!C:W,21,)))</f>
        <v/>
      </c>
      <c r="T448" s="18" t="str">
        <f>IF(OR(J448="Krankenstand",J448="Urlaub"),"",IF(J448="","",VLOOKUP(D448,Dienste!C:W,5,)))</f>
        <v/>
      </c>
      <c r="U448" s="18" t="str">
        <f>IF(OR(J448="Krankenstand",J448="Urlaub"),"",IF(J448="","",VLOOKUP(D448,Dienste!C:W,6,)))</f>
        <v/>
      </c>
      <c r="V448" s="18" t="str">
        <f>IF(OR(J448="Krankenstand",J448="Urlaub"),"",IF(J448="","",VLOOKUP(D448,Dienste!C:W,7,)))</f>
        <v/>
      </c>
      <c r="W448" s="18" t="str">
        <f>IF(OR(J448="Krankenstand",J448="Urlaub"),"",IF(J448="","",VLOOKUP(D448,Dienste!C:W,11,)))</f>
        <v/>
      </c>
      <c r="X448" s="18" t="str">
        <f>IF(OR(J448="Krankenstand",J448="Urlaub"),"",IF(J448="","",VLOOKUP(D448,Dienste!C:W,12,)))</f>
        <v/>
      </c>
      <c r="Y448" s="19" t="str">
        <f>IF(OR(J448="Krankenstand",J448="Urlaub"),"",IF(J448="","",VLOOKUP(D448,Dienste!C:W,14,)))</f>
        <v/>
      </c>
      <c r="Z448" s="20" t="str">
        <f>IF(OR(J448="Krankenstand",J448="Urlaub"),"",IF(J448="","",VLOOKUP(D448,Dienste!C:W,15,)))</f>
        <v/>
      </c>
      <c r="AA448" s="124" t="str">
        <f t="shared" si="211"/>
        <v/>
      </c>
      <c r="AB448" s="19" t="str">
        <f t="shared" si="212"/>
        <v/>
      </c>
      <c r="AC448" s="126" t="str">
        <f>_xlfn.CONCAT(_xlfn.CONCAT(IF(I448="","",_xlfn.CONCAT("FT: ",I448,IF(J448="","","; "))),IF(B448&lt;Datenblatt!$B$9,"",IF(B448="","",IF(NOT(J448=""),SUBSTITUTE(SUBSTITUTE(SUBSTITUTE(J448," mR","")," oR","")," O",""),"")))),IF(AF448="","",_xlfn.CONCAT(CHAR(10),"; ",AF448)))</f>
        <v/>
      </c>
      <c r="AD448" s="124" t="str">
        <f t="shared" si="221"/>
        <v/>
      </c>
      <c r="AE448" s="19">
        <f t="shared" si="213"/>
        <v>0</v>
      </c>
      <c r="AF448" s="156"/>
    </row>
    <row r="449" spans="2:32" s="9" customFormat="1" ht="13">
      <c r="B449" s="6">
        <f t="shared" si="214"/>
        <v>44912</v>
      </c>
      <c r="C449" s="45">
        <f>SMALL(Daten!W:W,COUNTIF(Daten!W:W,"&lt;"&amp;Stundenaufzeichnung!B449+1))</f>
        <v>44578</v>
      </c>
      <c r="D449" s="45" t="str">
        <f t="shared" si="209"/>
        <v/>
      </c>
      <c r="E449" s="8">
        <f t="shared" si="210"/>
        <v>1</v>
      </c>
      <c r="F449" s="8">
        <f t="shared" si="215"/>
        <v>6</v>
      </c>
      <c r="G449" s="8">
        <f>IF(B449="","",VLOOKUP(E449,Datenblatt!$L$2:$N$8,3,FALSE))</f>
        <v>0</v>
      </c>
      <c r="H449" s="8" t="str">
        <f t="shared" si="216"/>
        <v/>
      </c>
      <c r="I449" s="11" t="str">
        <f>IFERROR(VLOOKUP(B449,Datenblatt!$E:$F,2,FALSE),"")</f>
        <v/>
      </c>
      <c r="J449" s="113"/>
      <c r="K449" s="19">
        <f>IF(B449&lt;Datenblatt!$B$9,"",IF(B449="","",IF(G449=0,Datenblatt!$B$7,"")))</f>
        <v>6.67</v>
      </c>
      <c r="L449" s="19" t="str">
        <f t="shared" si="217"/>
        <v/>
      </c>
      <c r="M449" s="124" t="str">
        <f t="shared" si="218"/>
        <v/>
      </c>
      <c r="N449" s="124" t="str">
        <f>IF(AND(L449=Datenblatt!$B$7,NOT(L448=Datenblatt!$B$7),NOT(L450=Datenblatt!$B$7)),"y",IF(AND(L449=Datenblatt!$B$7,L450=Datenblatt!$B$7,NOT(L448=Datenblatt!$B$7)),"a",IF(AND(L449=Datenblatt!$B$7,L448=Datenblatt!$B$7,NOT(L450=Datenblatt!$B$7)),"b","")))</f>
        <v/>
      </c>
      <c r="O449" s="19" t="str">
        <f t="shared" si="219"/>
        <v/>
      </c>
      <c r="P449" s="124" t="str">
        <f>IF(AND(M449=Datenblatt!$B$7,NOT(M448=Datenblatt!$B$7),NOT(M450=Datenblatt!$B$7)),"y",IF(AND(M449=Datenblatt!$B$7,M450=Datenblatt!$B$7,NOT(M448=Datenblatt!$B$7)),"a",IF(AND(M449=Datenblatt!$B$7,M448=Datenblatt!$B$7,NOT(M450=Datenblatt!$B$7)),"b","")))</f>
        <v/>
      </c>
      <c r="Q449" s="19" t="str">
        <f t="shared" si="220"/>
        <v/>
      </c>
      <c r="R449" s="124" t="str">
        <f>IF(I449="","",IF(AND(OR(J449="Krankenstand",J449="Urlaub",J449=""), AND(G449=0,NOT(I449=""))),Datenblatt!$B$7,""))</f>
        <v/>
      </c>
      <c r="S449" s="19" t="str">
        <f>IF(OR(J449="Krankenstand",J449="Urlaub"),"",IF(J449="","",VLOOKUP(D449,Dienste!C:W,21,)))</f>
        <v/>
      </c>
      <c r="T449" s="18" t="str">
        <f>IF(OR(J449="Krankenstand",J449="Urlaub"),"",IF(J449="","",VLOOKUP(D449,Dienste!C:W,5,)))</f>
        <v/>
      </c>
      <c r="U449" s="18" t="str">
        <f>IF(OR(J449="Krankenstand",J449="Urlaub"),"",IF(J449="","",VLOOKUP(D449,Dienste!C:W,6,)))</f>
        <v/>
      </c>
      <c r="V449" s="18" t="str">
        <f>IF(OR(J449="Krankenstand",J449="Urlaub"),"",IF(J449="","",VLOOKUP(D449,Dienste!C:W,7,)))</f>
        <v/>
      </c>
      <c r="W449" s="18" t="str">
        <f>IF(OR(J449="Krankenstand",J449="Urlaub"),"",IF(J449="","",VLOOKUP(D449,Dienste!C:W,11,)))</f>
        <v/>
      </c>
      <c r="X449" s="18" t="str">
        <f>IF(OR(J449="Krankenstand",J449="Urlaub"),"",IF(J449="","",VLOOKUP(D449,Dienste!C:W,12,)))</f>
        <v/>
      </c>
      <c r="Y449" s="19" t="str">
        <f>IF(OR(J449="Krankenstand",J449="Urlaub"),"",IF(J449="","",VLOOKUP(D449,Dienste!C:W,14,)))</f>
        <v/>
      </c>
      <c r="Z449" s="20" t="str">
        <f>IF(OR(J449="Krankenstand",J449="Urlaub"),"",IF(J449="","",VLOOKUP(D449,Dienste!C:W,15,)))</f>
        <v/>
      </c>
      <c r="AA449" s="124" t="str">
        <f t="shared" si="211"/>
        <v/>
      </c>
      <c r="AB449" s="19" t="str">
        <f t="shared" si="212"/>
        <v/>
      </c>
      <c r="AC449" s="126" t="str">
        <f>_xlfn.CONCAT(_xlfn.CONCAT(IF(I449="","",_xlfn.CONCAT("FT: ",I449,IF(J449="","","; "))),IF(B449&lt;Datenblatt!$B$9,"",IF(B449="","",IF(NOT(J449=""),SUBSTITUTE(SUBSTITUTE(SUBSTITUTE(J449," mR","")," oR","")," O",""),"")))),IF(AF449="","",_xlfn.CONCAT(CHAR(10),"; ",AF449)))</f>
        <v/>
      </c>
      <c r="AD449" s="124" t="str">
        <f t="shared" si="221"/>
        <v/>
      </c>
      <c r="AE449" s="19">
        <f t="shared" si="213"/>
        <v>0</v>
      </c>
      <c r="AF449" s="156"/>
    </row>
    <row r="450" spans="2:32" s="9" customFormat="1" ht="13">
      <c r="B450" s="6">
        <f t="shared" si="214"/>
        <v>44913</v>
      </c>
      <c r="C450" s="45">
        <f>SMALL(Daten!W:W,COUNTIF(Daten!W:W,"&lt;"&amp;Stundenaufzeichnung!B450+1))</f>
        <v>44578</v>
      </c>
      <c r="D450" s="45" t="str">
        <f t="shared" si="209"/>
        <v/>
      </c>
      <c r="E450" s="8">
        <f t="shared" si="210"/>
        <v>2</v>
      </c>
      <c r="F450" s="8">
        <f t="shared" si="215"/>
        <v>7</v>
      </c>
      <c r="G450" s="8">
        <f>IF(B450="","",VLOOKUP(E450,Datenblatt!$L$2:$N$8,3,FALSE))</f>
        <v>1</v>
      </c>
      <c r="H450" s="8" t="str">
        <f t="shared" si="216"/>
        <v>x</v>
      </c>
      <c r="I450" s="11" t="str">
        <f>IFERROR(VLOOKUP(B450,Datenblatt!$E:$F,2,FALSE),"")</f>
        <v/>
      </c>
      <c r="J450" s="113"/>
      <c r="K450" s="19" t="str">
        <f>IF(B450&lt;Datenblatt!$B$9,"",IF(B450="","",IF(G450=0,Datenblatt!$B$7,"")))</f>
        <v/>
      </c>
      <c r="L450" s="19" t="str">
        <f t="shared" si="217"/>
        <v/>
      </c>
      <c r="M450" s="124" t="str">
        <f t="shared" si="218"/>
        <v/>
      </c>
      <c r="N450" s="124" t="str">
        <f>IF(AND(L450=Datenblatt!$B$7,NOT(L449=Datenblatt!$B$7),NOT(L451=Datenblatt!$B$7)),"y",IF(AND(L450=Datenblatt!$B$7,L451=Datenblatt!$B$7,NOT(L449=Datenblatt!$B$7)),"a",IF(AND(L450=Datenblatt!$B$7,L449=Datenblatt!$B$7,NOT(L451=Datenblatt!$B$7)),"b","")))</f>
        <v/>
      </c>
      <c r="O450" s="19" t="str">
        <f t="shared" si="219"/>
        <v/>
      </c>
      <c r="P450" s="124" t="str">
        <f>IF(AND(M450=Datenblatt!$B$7,NOT(M449=Datenblatt!$B$7),NOT(M451=Datenblatt!$B$7)),"y",IF(AND(M450=Datenblatt!$B$7,M451=Datenblatt!$B$7,NOT(M449=Datenblatt!$B$7)),"a",IF(AND(M450=Datenblatt!$B$7,M449=Datenblatt!$B$7,NOT(M451=Datenblatt!$B$7)),"b","")))</f>
        <v/>
      </c>
      <c r="Q450" s="19" t="str">
        <f t="shared" si="220"/>
        <v/>
      </c>
      <c r="R450" s="124" t="str">
        <f>IF(I450="","",IF(AND(OR(J450="Krankenstand",J450="Urlaub",J450=""), AND(G450=0,NOT(I450=""))),Datenblatt!$B$7,""))</f>
        <v/>
      </c>
      <c r="S450" s="19" t="str">
        <f>IF(OR(J450="Krankenstand",J450="Urlaub"),"",IF(J450="","",VLOOKUP(D450,Dienste!C:W,21,)))</f>
        <v/>
      </c>
      <c r="T450" s="18" t="str">
        <f>IF(OR(J450="Krankenstand",J450="Urlaub"),"",IF(J450="","",VLOOKUP(D450,Dienste!C:W,5,)))</f>
        <v/>
      </c>
      <c r="U450" s="18" t="str">
        <f>IF(OR(J450="Krankenstand",J450="Urlaub"),"",IF(J450="","",VLOOKUP(D450,Dienste!C:W,6,)))</f>
        <v/>
      </c>
      <c r="V450" s="18" t="str">
        <f>IF(OR(J450="Krankenstand",J450="Urlaub"),"",IF(J450="","",VLOOKUP(D450,Dienste!C:W,7,)))</f>
        <v/>
      </c>
      <c r="W450" s="18" t="str">
        <f>IF(OR(J450="Krankenstand",J450="Urlaub"),"",IF(J450="","",VLOOKUP(D450,Dienste!C:W,11,)))</f>
        <v/>
      </c>
      <c r="X450" s="18" t="str">
        <f>IF(OR(J450="Krankenstand",J450="Urlaub"),"",IF(J450="","",VLOOKUP(D450,Dienste!C:W,12,)))</f>
        <v/>
      </c>
      <c r="Y450" s="19" t="str">
        <f>IF(OR(J450="Krankenstand",J450="Urlaub"),"",IF(J450="","",VLOOKUP(D450,Dienste!C:W,14,)))</f>
        <v/>
      </c>
      <c r="Z450" s="20" t="str">
        <f>IF(OR(J450="Krankenstand",J450="Urlaub"),"",IF(J450="","",VLOOKUP(D450,Dienste!C:W,15,)))</f>
        <v/>
      </c>
      <c r="AA450" s="124" t="str">
        <f t="shared" si="211"/>
        <v/>
      </c>
      <c r="AB450" s="19" t="str">
        <f t="shared" si="212"/>
        <v/>
      </c>
      <c r="AC450" s="126" t="str">
        <f>_xlfn.CONCAT(_xlfn.CONCAT(IF(I450="","",_xlfn.CONCAT("FT: ",I450,IF(J450="","","; "))),IF(B450&lt;Datenblatt!$B$9,"",IF(B450="","",IF(NOT(J450=""),SUBSTITUTE(SUBSTITUTE(SUBSTITUTE(J450," mR","")," oR","")," O",""),"")))),IF(AF450="","",_xlfn.CONCAT(CHAR(10),"; ",AF450)))</f>
        <v/>
      </c>
      <c r="AD450" s="124" t="str">
        <f t="shared" si="221"/>
        <v/>
      </c>
      <c r="AE450" s="19">
        <f t="shared" si="213"/>
        <v>0</v>
      </c>
      <c r="AF450" s="156"/>
    </row>
    <row r="451" spans="2:32" s="9" customFormat="1" ht="13">
      <c r="B451" s="6">
        <f t="shared" si="214"/>
        <v>44914</v>
      </c>
      <c r="C451" s="45">
        <f>SMALL(Daten!W:W,COUNTIF(Daten!W:W,"&lt;"&amp;Stundenaufzeichnung!B451+1))</f>
        <v>44578</v>
      </c>
      <c r="D451" s="45" t="str">
        <f t="shared" si="209"/>
        <v/>
      </c>
      <c r="E451" s="8">
        <f t="shared" si="210"/>
        <v>3</v>
      </c>
      <c r="F451" s="8">
        <f t="shared" si="215"/>
        <v>1</v>
      </c>
      <c r="G451" s="8">
        <f>IF(B451="","",VLOOKUP(E451,Datenblatt!$L$2:$N$8,3,FALSE))</f>
        <v>0</v>
      </c>
      <c r="H451" s="8" t="str">
        <f t="shared" si="216"/>
        <v/>
      </c>
      <c r="I451" s="11" t="str">
        <f>IFERROR(VLOOKUP(B451,Datenblatt!$E:$F,2,FALSE),"")</f>
        <v/>
      </c>
      <c r="J451" s="113"/>
      <c r="K451" s="19">
        <f>IF(B451&lt;Datenblatt!$B$9,"",IF(B451="","",IF(G451=0,Datenblatt!$B$7,"")))</f>
        <v>6.67</v>
      </c>
      <c r="L451" s="19" t="str">
        <f t="shared" si="217"/>
        <v/>
      </c>
      <c r="M451" s="124" t="str">
        <f t="shared" si="218"/>
        <v/>
      </c>
      <c r="N451" s="124" t="str">
        <f>IF(AND(L451=Datenblatt!$B$7,NOT(L450=Datenblatt!$B$7),NOT(L452=Datenblatt!$B$7)),"y",IF(AND(L451=Datenblatt!$B$7,L452=Datenblatt!$B$7,NOT(L450=Datenblatt!$B$7)),"a",IF(AND(L451=Datenblatt!$B$7,L450=Datenblatt!$B$7,NOT(L452=Datenblatt!$B$7)),"b","")))</f>
        <v/>
      </c>
      <c r="O451" s="19" t="str">
        <f t="shared" si="219"/>
        <v/>
      </c>
      <c r="P451" s="124" t="str">
        <f>IF(AND(M451=Datenblatt!$B$7,NOT(M450=Datenblatt!$B$7),NOT(M452=Datenblatt!$B$7)),"y",IF(AND(M451=Datenblatt!$B$7,M452=Datenblatt!$B$7,NOT(M450=Datenblatt!$B$7)),"a",IF(AND(M451=Datenblatt!$B$7,M450=Datenblatt!$B$7,NOT(M452=Datenblatt!$B$7)),"b","")))</f>
        <v/>
      </c>
      <c r="Q451" s="19" t="str">
        <f t="shared" si="220"/>
        <v/>
      </c>
      <c r="R451" s="124" t="str">
        <f>IF(I451="","",IF(AND(OR(J451="Krankenstand",J451="Urlaub",J451=""), AND(G451=0,NOT(I451=""))),Datenblatt!$B$7,""))</f>
        <v/>
      </c>
      <c r="S451" s="19" t="str">
        <f>IF(OR(J451="Krankenstand",J451="Urlaub"),"",IF(J451="","",VLOOKUP(D451,Dienste!C:W,21,)))</f>
        <v/>
      </c>
      <c r="T451" s="18" t="str">
        <f>IF(OR(J451="Krankenstand",J451="Urlaub"),"",IF(J451="","",VLOOKUP(D451,Dienste!C:W,5,)))</f>
        <v/>
      </c>
      <c r="U451" s="18" t="str">
        <f>IF(OR(J451="Krankenstand",J451="Urlaub"),"",IF(J451="","",VLOOKUP(D451,Dienste!C:W,6,)))</f>
        <v/>
      </c>
      <c r="V451" s="18" t="str">
        <f>IF(OR(J451="Krankenstand",J451="Urlaub"),"",IF(J451="","",VLOOKUP(D451,Dienste!C:W,7,)))</f>
        <v/>
      </c>
      <c r="W451" s="18" t="str">
        <f>IF(OR(J451="Krankenstand",J451="Urlaub"),"",IF(J451="","",VLOOKUP(D451,Dienste!C:W,11,)))</f>
        <v/>
      </c>
      <c r="X451" s="18" t="str">
        <f>IF(OR(J451="Krankenstand",J451="Urlaub"),"",IF(J451="","",VLOOKUP(D451,Dienste!C:W,12,)))</f>
        <v/>
      </c>
      <c r="Y451" s="19" t="str">
        <f>IF(OR(J451="Krankenstand",J451="Urlaub"),"",IF(J451="","",VLOOKUP(D451,Dienste!C:W,14,)))</f>
        <v/>
      </c>
      <c r="Z451" s="20" t="str">
        <f>IF(OR(J451="Krankenstand",J451="Urlaub"),"",IF(J451="","",VLOOKUP(D451,Dienste!C:W,15,)))</f>
        <v/>
      </c>
      <c r="AA451" s="124" t="str">
        <f t="shared" si="211"/>
        <v/>
      </c>
      <c r="AB451" s="19" t="str">
        <f t="shared" si="212"/>
        <v/>
      </c>
      <c r="AC451" s="126" t="str">
        <f>_xlfn.CONCAT(_xlfn.CONCAT(IF(I451="","",_xlfn.CONCAT("FT: ",I451,IF(J451="","","; "))),IF(B451&lt;Datenblatt!$B$9,"",IF(B451="","",IF(NOT(J451=""),SUBSTITUTE(SUBSTITUTE(SUBSTITUTE(J451," mR","")," oR","")," O",""),"")))),IF(AF451="","",_xlfn.CONCAT(CHAR(10),"; ",AF451)))</f>
        <v/>
      </c>
      <c r="AD451" s="124" t="str">
        <f t="shared" si="221"/>
        <v/>
      </c>
      <c r="AE451" s="19">
        <f t="shared" si="213"/>
        <v>0</v>
      </c>
      <c r="AF451" s="156"/>
    </row>
    <row r="452" spans="2:32" s="9" customFormat="1" ht="13">
      <c r="B452" s="6">
        <f t="shared" si="214"/>
        <v>44915</v>
      </c>
      <c r="C452" s="45">
        <f>SMALL(Daten!W:W,COUNTIF(Daten!W:W,"&lt;"&amp;Stundenaufzeichnung!B452+1))</f>
        <v>44578</v>
      </c>
      <c r="D452" s="45" t="str">
        <f t="shared" si="209"/>
        <v/>
      </c>
      <c r="E452" s="8">
        <f t="shared" si="210"/>
        <v>4</v>
      </c>
      <c r="F452" s="8">
        <f t="shared" si="215"/>
        <v>2</v>
      </c>
      <c r="G452" s="8">
        <f>IF(B452="","",VLOOKUP(E452,Datenblatt!$L$2:$N$8,3,FALSE))</f>
        <v>0</v>
      </c>
      <c r="H452" s="8" t="str">
        <f t="shared" si="216"/>
        <v/>
      </c>
      <c r="I452" s="11" t="str">
        <f>IFERROR(VLOOKUP(B452,Datenblatt!$E:$F,2,FALSE),"")</f>
        <v/>
      </c>
      <c r="J452" s="113"/>
      <c r="K452" s="19">
        <f>IF(B452&lt;Datenblatt!$B$9,"",IF(B452="","",IF(G452=0,Datenblatt!$B$7,"")))</f>
        <v>6.67</v>
      </c>
      <c r="L452" s="19" t="str">
        <f t="shared" si="217"/>
        <v/>
      </c>
      <c r="M452" s="124" t="str">
        <f t="shared" si="218"/>
        <v/>
      </c>
      <c r="N452" s="124" t="str">
        <f>IF(AND(L452=Datenblatt!$B$7,NOT(L451=Datenblatt!$B$7),NOT(L453=Datenblatt!$B$7)),"y",IF(AND(L452=Datenblatt!$B$7,L453=Datenblatt!$B$7,NOT(L451=Datenblatt!$B$7)),"a",IF(AND(L452=Datenblatt!$B$7,L451=Datenblatt!$B$7,NOT(L453=Datenblatt!$B$7)),"b","")))</f>
        <v/>
      </c>
      <c r="O452" s="19" t="str">
        <f t="shared" si="219"/>
        <v/>
      </c>
      <c r="P452" s="124" t="str">
        <f>IF(AND(M452=Datenblatt!$B$7,NOT(M451=Datenblatt!$B$7),NOT(M453=Datenblatt!$B$7)),"y",IF(AND(M452=Datenblatt!$B$7,M453=Datenblatt!$B$7,NOT(M451=Datenblatt!$B$7)),"a",IF(AND(M452=Datenblatt!$B$7,M451=Datenblatt!$B$7,NOT(M453=Datenblatt!$B$7)),"b","")))</f>
        <v/>
      </c>
      <c r="Q452" s="19" t="str">
        <f t="shared" si="220"/>
        <v/>
      </c>
      <c r="R452" s="124" t="str">
        <f>IF(I452="","",IF(AND(OR(J452="Krankenstand",J452="Urlaub",J452=""), AND(G452=0,NOT(I452=""))),Datenblatt!$B$7,""))</f>
        <v/>
      </c>
      <c r="S452" s="19" t="str">
        <f>IF(OR(J452="Krankenstand",J452="Urlaub"),"",IF(J452="","",VLOOKUP(D452,Dienste!C:W,21,)))</f>
        <v/>
      </c>
      <c r="T452" s="18" t="str">
        <f>IF(OR(J452="Krankenstand",J452="Urlaub"),"",IF(J452="","",VLOOKUP(D452,Dienste!C:W,5,)))</f>
        <v/>
      </c>
      <c r="U452" s="18" t="str">
        <f>IF(OR(J452="Krankenstand",J452="Urlaub"),"",IF(J452="","",VLOOKUP(D452,Dienste!C:W,6,)))</f>
        <v/>
      </c>
      <c r="V452" s="18" t="str">
        <f>IF(OR(J452="Krankenstand",J452="Urlaub"),"",IF(J452="","",VLOOKUP(D452,Dienste!C:W,7,)))</f>
        <v/>
      </c>
      <c r="W452" s="18" t="str">
        <f>IF(OR(J452="Krankenstand",J452="Urlaub"),"",IF(J452="","",VLOOKUP(D452,Dienste!C:W,11,)))</f>
        <v/>
      </c>
      <c r="X452" s="18" t="str">
        <f>IF(OR(J452="Krankenstand",J452="Urlaub"),"",IF(J452="","",VLOOKUP(D452,Dienste!C:W,12,)))</f>
        <v/>
      </c>
      <c r="Y452" s="19" t="str">
        <f>IF(OR(J452="Krankenstand",J452="Urlaub"),"",IF(J452="","",VLOOKUP(D452,Dienste!C:W,14,)))</f>
        <v/>
      </c>
      <c r="Z452" s="20" t="str">
        <f>IF(OR(J452="Krankenstand",J452="Urlaub"),"",IF(J452="","",VLOOKUP(D452,Dienste!C:W,15,)))</f>
        <v/>
      </c>
      <c r="AA452" s="124" t="str">
        <f t="shared" si="211"/>
        <v/>
      </c>
      <c r="AB452" s="19" t="str">
        <f t="shared" si="212"/>
        <v/>
      </c>
      <c r="AC452" s="126" t="str">
        <f>_xlfn.CONCAT(_xlfn.CONCAT(IF(I452="","",_xlfn.CONCAT("FT: ",I452,IF(J452="","","; "))),IF(B452&lt;Datenblatt!$B$9,"",IF(B452="","",IF(NOT(J452=""),SUBSTITUTE(SUBSTITUTE(SUBSTITUTE(J452," mR","")," oR","")," O",""),"")))),IF(AF452="","",_xlfn.CONCAT(CHAR(10),"; ",AF452)))</f>
        <v/>
      </c>
      <c r="AD452" s="124" t="str">
        <f t="shared" si="221"/>
        <v/>
      </c>
      <c r="AE452" s="19">
        <f t="shared" si="213"/>
        <v>0</v>
      </c>
      <c r="AF452" s="156"/>
    </row>
    <row r="453" spans="2:32" s="9" customFormat="1" ht="13">
      <c r="B453" s="6">
        <f t="shared" si="214"/>
        <v>44916</v>
      </c>
      <c r="C453" s="45">
        <f>SMALL(Daten!W:W,COUNTIF(Daten!W:W,"&lt;"&amp;Stundenaufzeichnung!B453+1))</f>
        <v>44578</v>
      </c>
      <c r="D453" s="45" t="str">
        <f t="shared" si="209"/>
        <v/>
      </c>
      <c r="E453" s="8">
        <f t="shared" si="210"/>
        <v>5</v>
      </c>
      <c r="F453" s="8">
        <f t="shared" si="215"/>
        <v>3</v>
      </c>
      <c r="G453" s="8">
        <f>IF(B453="","",VLOOKUP(E453,Datenblatt!$L$2:$N$8,3,FALSE))</f>
        <v>0</v>
      </c>
      <c r="H453" s="8" t="str">
        <f t="shared" si="216"/>
        <v/>
      </c>
      <c r="I453" s="11" t="str">
        <f>IFERROR(VLOOKUP(B453,Datenblatt!$E:$F,2,FALSE),"")</f>
        <v/>
      </c>
      <c r="J453" s="113"/>
      <c r="K453" s="19">
        <f>IF(B453&lt;Datenblatt!$B$9,"",IF(B453="","",IF(G453=0,Datenblatt!$B$7,"")))</f>
        <v>6.67</v>
      </c>
      <c r="L453" s="19" t="str">
        <f t="shared" si="217"/>
        <v/>
      </c>
      <c r="M453" s="124" t="str">
        <f t="shared" si="218"/>
        <v/>
      </c>
      <c r="N453" s="124" t="str">
        <f>IF(AND(L453=Datenblatt!$B$7,NOT(L452=Datenblatt!$B$7),NOT(L454=Datenblatt!$B$7)),"y",IF(AND(L453=Datenblatt!$B$7,L454=Datenblatt!$B$7,NOT(L452=Datenblatt!$B$7)),"a",IF(AND(L453=Datenblatt!$B$7,L452=Datenblatt!$B$7,NOT(L454=Datenblatt!$B$7)),"b","")))</f>
        <v/>
      </c>
      <c r="O453" s="19" t="str">
        <f t="shared" si="219"/>
        <v/>
      </c>
      <c r="P453" s="124" t="str">
        <f>IF(AND(M453=Datenblatt!$B$7,NOT(M452=Datenblatt!$B$7),NOT(M454=Datenblatt!$B$7)),"y",IF(AND(M453=Datenblatt!$B$7,M454=Datenblatt!$B$7,NOT(M452=Datenblatt!$B$7)),"a",IF(AND(M453=Datenblatt!$B$7,M452=Datenblatt!$B$7,NOT(M454=Datenblatt!$B$7)),"b","")))</f>
        <v/>
      </c>
      <c r="Q453" s="19" t="str">
        <f t="shared" si="220"/>
        <v/>
      </c>
      <c r="R453" s="124" t="str">
        <f>IF(I453="","",IF(AND(OR(J453="Krankenstand",J453="Urlaub",J453=""), AND(G453=0,NOT(I453=""))),Datenblatt!$B$7,""))</f>
        <v/>
      </c>
      <c r="S453" s="19" t="str">
        <f>IF(OR(J453="Krankenstand",J453="Urlaub"),"",IF(J453="","",VLOOKUP(D453,Dienste!C:W,21,)))</f>
        <v/>
      </c>
      <c r="T453" s="18" t="str">
        <f>IF(OR(J453="Krankenstand",J453="Urlaub"),"",IF(J453="","",VLOOKUP(D453,Dienste!C:W,5,)))</f>
        <v/>
      </c>
      <c r="U453" s="18" t="str">
        <f>IF(OR(J453="Krankenstand",J453="Urlaub"),"",IF(J453="","",VLOOKUP(D453,Dienste!C:W,6,)))</f>
        <v/>
      </c>
      <c r="V453" s="18" t="str">
        <f>IF(OR(J453="Krankenstand",J453="Urlaub"),"",IF(J453="","",VLOOKUP(D453,Dienste!C:W,7,)))</f>
        <v/>
      </c>
      <c r="W453" s="18" t="str">
        <f>IF(OR(J453="Krankenstand",J453="Urlaub"),"",IF(J453="","",VLOOKUP(D453,Dienste!C:W,11,)))</f>
        <v/>
      </c>
      <c r="X453" s="18" t="str">
        <f>IF(OR(J453="Krankenstand",J453="Urlaub"),"",IF(J453="","",VLOOKUP(D453,Dienste!C:W,12,)))</f>
        <v/>
      </c>
      <c r="Y453" s="19" t="str">
        <f>IF(OR(J453="Krankenstand",J453="Urlaub"),"",IF(J453="","",VLOOKUP(D453,Dienste!C:W,14,)))</f>
        <v/>
      </c>
      <c r="Z453" s="20" t="str">
        <f>IF(OR(J453="Krankenstand",J453="Urlaub"),"",IF(J453="","",VLOOKUP(D453,Dienste!C:W,15,)))</f>
        <v/>
      </c>
      <c r="AA453" s="124" t="str">
        <f t="shared" si="211"/>
        <v/>
      </c>
      <c r="AB453" s="19" t="str">
        <f t="shared" si="212"/>
        <v/>
      </c>
      <c r="AC453" s="126" t="str">
        <f>_xlfn.CONCAT(_xlfn.CONCAT(IF(I453="","",_xlfn.CONCAT("FT: ",I453,IF(J453="","","; "))),IF(B453&lt;Datenblatt!$B$9,"",IF(B453="","",IF(NOT(J453=""),SUBSTITUTE(SUBSTITUTE(SUBSTITUTE(J453," mR","")," oR","")," O",""),"")))),IF(AF453="","",_xlfn.CONCAT(CHAR(10),"; ",AF453)))</f>
        <v/>
      </c>
      <c r="AD453" s="124" t="str">
        <f t="shared" si="221"/>
        <v/>
      </c>
      <c r="AE453" s="19">
        <f t="shared" si="213"/>
        <v>0</v>
      </c>
      <c r="AF453" s="156"/>
    </row>
    <row r="454" spans="2:32" s="9" customFormat="1" ht="13">
      <c r="B454" s="6">
        <f t="shared" si="214"/>
        <v>44917</v>
      </c>
      <c r="C454" s="45">
        <f>SMALL(Daten!W:W,COUNTIF(Daten!W:W,"&lt;"&amp;Stundenaufzeichnung!B454+1))</f>
        <v>44578</v>
      </c>
      <c r="D454" s="45" t="str">
        <f t="shared" si="209"/>
        <v/>
      </c>
      <c r="E454" s="8">
        <f t="shared" si="210"/>
        <v>6</v>
      </c>
      <c r="F454" s="8">
        <f t="shared" si="215"/>
        <v>4</v>
      </c>
      <c r="G454" s="8">
        <f>IF(B454="","",VLOOKUP(E454,Datenblatt!$L$2:$N$8,3,FALSE))</f>
        <v>0</v>
      </c>
      <c r="H454" s="8" t="str">
        <f t="shared" si="216"/>
        <v/>
      </c>
      <c r="I454" s="11" t="str">
        <f>IFERROR(VLOOKUP(B454,Datenblatt!$E:$F,2,FALSE),"")</f>
        <v/>
      </c>
      <c r="J454" s="113"/>
      <c r="K454" s="19">
        <f>IF(B454&lt;Datenblatt!$B$9,"",IF(B454="","",IF(G454=0,Datenblatt!$B$7,"")))</f>
        <v>6.67</v>
      </c>
      <c r="L454" s="19" t="str">
        <f t="shared" si="217"/>
        <v/>
      </c>
      <c r="M454" s="124" t="str">
        <f t="shared" si="218"/>
        <v/>
      </c>
      <c r="N454" s="124" t="str">
        <f>IF(AND(L454=Datenblatt!$B$7,NOT(L453=Datenblatt!$B$7),NOT(L455=Datenblatt!$B$7)),"y",IF(AND(L454=Datenblatt!$B$7,L455=Datenblatt!$B$7,NOT(L453=Datenblatt!$B$7)),"a",IF(AND(L454=Datenblatt!$B$7,L453=Datenblatt!$B$7,NOT(L455=Datenblatt!$B$7)),"b","")))</f>
        <v/>
      </c>
      <c r="O454" s="19" t="str">
        <f t="shared" si="219"/>
        <v/>
      </c>
      <c r="P454" s="124" t="str">
        <f>IF(AND(M454=Datenblatt!$B$7,NOT(M453=Datenblatt!$B$7),NOT(M455=Datenblatt!$B$7)),"y",IF(AND(M454=Datenblatt!$B$7,M455=Datenblatt!$B$7,NOT(M453=Datenblatt!$B$7)),"a",IF(AND(M454=Datenblatt!$B$7,M453=Datenblatt!$B$7,NOT(M455=Datenblatt!$B$7)),"b","")))</f>
        <v/>
      </c>
      <c r="Q454" s="19" t="str">
        <f t="shared" si="220"/>
        <v/>
      </c>
      <c r="R454" s="124" t="str">
        <f>IF(I454="","",IF(AND(OR(J454="Krankenstand",J454="Urlaub",J454=""), AND(G454=0,NOT(I454=""))),Datenblatt!$B$7,""))</f>
        <v/>
      </c>
      <c r="S454" s="19" t="str">
        <f>IF(OR(J454="Krankenstand",J454="Urlaub"),"",IF(J454="","",VLOOKUP(D454,Dienste!C:W,21,)))</f>
        <v/>
      </c>
      <c r="T454" s="18" t="str">
        <f>IF(OR(J454="Krankenstand",J454="Urlaub"),"",IF(J454="","",VLOOKUP(D454,Dienste!C:W,5,)))</f>
        <v/>
      </c>
      <c r="U454" s="18" t="str">
        <f>IF(OR(J454="Krankenstand",J454="Urlaub"),"",IF(J454="","",VLOOKUP(D454,Dienste!C:W,6,)))</f>
        <v/>
      </c>
      <c r="V454" s="18" t="str">
        <f>IF(OR(J454="Krankenstand",J454="Urlaub"),"",IF(J454="","",VLOOKUP(D454,Dienste!C:W,7,)))</f>
        <v/>
      </c>
      <c r="W454" s="18" t="str">
        <f>IF(OR(J454="Krankenstand",J454="Urlaub"),"",IF(J454="","",VLOOKUP(D454,Dienste!C:W,11,)))</f>
        <v/>
      </c>
      <c r="X454" s="18" t="str">
        <f>IF(OR(J454="Krankenstand",J454="Urlaub"),"",IF(J454="","",VLOOKUP(D454,Dienste!C:W,12,)))</f>
        <v/>
      </c>
      <c r="Y454" s="19" t="str">
        <f>IF(OR(J454="Krankenstand",J454="Urlaub"),"",IF(J454="","",VLOOKUP(D454,Dienste!C:W,14,)))</f>
        <v/>
      </c>
      <c r="Z454" s="20" t="str">
        <f>IF(OR(J454="Krankenstand",J454="Urlaub"),"",IF(J454="","",VLOOKUP(D454,Dienste!C:W,15,)))</f>
        <v/>
      </c>
      <c r="AA454" s="124" t="str">
        <f t="shared" si="211"/>
        <v/>
      </c>
      <c r="AB454" s="19" t="str">
        <f t="shared" si="212"/>
        <v/>
      </c>
      <c r="AC454" s="126" t="str">
        <f>_xlfn.CONCAT(_xlfn.CONCAT(IF(I454="","",_xlfn.CONCAT("FT: ",I454,IF(J454="","","; "))),IF(B454&lt;Datenblatt!$B$9,"",IF(B454="","",IF(NOT(J454=""),SUBSTITUTE(SUBSTITUTE(SUBSTITUTE(J454," mR","")," oR","")," O",""),"")))),IF(AF454="","",_xlfn.CONCAT(CHAR(10),"; ",AF454)))</f>
        <v/>
      </c>
      <c r="AD454" s="124" t="str">
        <f t="shared" si="221"/>
        <v/>
      </c>
      <c r="AE454" s="19">
        <f t="shared" si="213"/>
        <v>0</v>
      </c>
      <c r="AF454" s="156"/>
    </row>
    <row r="455" spans="2:32" s="9" customFormat="1" ht="13">
      <c r="B455" s="6">
        <f t="shared" si="214"/>
        <v>44918</v>
      </c>
      <c r="C455" s="45">
        <f>SMALL(Daten!W:W,COUNTIF(Daten!W:W,"&lt;"&amp;Stundenaufzeichnung!B455+1))</f>
        <v>44578</v>
      </c>
      <c r="D455" s="45" t="str">
        <f t="shared" si="209"/>
        <v/>
      </c>
      <c r="E455" s="8">
        <f t="shared" si="210"/>
        <v>7</v>
      </c>
      <c r="F455" s="8">
        <f t="shared" si="215"/>
        <v>5</v>
      </c>
      <c r="G455" s="8">
        <f>IF(B455="","",VLOOKUP(E455,Datenblatt!$L$2:$N$8,3,FALSE))</f>
        <v>0</v>
      </c>
      <c r="H455" s="8" t="str">
        <f t="shared" si="216"/>
        <v/>
      </c>
      <c r="I455" s="11" t="str">
        <f>IFERROR(VLOOKUP(B455,Datenblatt!$E:$F,2,FALSE),"")</f>
        <v/>
      </c>
      <c r="J455" s="113"/>
      <c r="K455" s="19">
        <f>IF(B455&lt;Datenblatt!$B$9,"",IF(B455="","",IF(G455=0,Datenblatt!$B$7,"")))</f>
        <v>6.67</v>
      </c>
      <c r="L455" s="19" t="str">
        <f t="shared" si="217"/>
        <v/>
      </c>
      <c r="M455" s="124" t="str">
        <f t="shared" si="218"/>
        <v/>
      </c>
      <c r="N455" s="124" t="str">
        <f>IF(AND(L455=Datenblatt!$B$7,NOT(L454=Datenblatt!$B$7),NOT(L456=Datenblatt!$B$7)),"y",IF(AND(L455=Datenblatt!$B$7,L456=Datenblatt!$B$7,NOT(L454=Datenblatt!$B$7)),"a",IF(AND(L455=Datenblatt!$B$7,L454=Datenblatt!$B$7,NOT(L456=Datenblatt!$B$7)),"b","")))</f>
        <v/>
      </c>
      <c r="O455" s="19" t="str">
        <f t="shared" si="219"/>
        <v/>
      </c>
      <c r="P455" s="124" t="str">
        <f>IF(AND(M455=Datenblatt!$B$7,NOT(M454=Datenblatt!$B$7),NOT(M456=Datenblatt!$B$7)),"y",IF(AND(M455=Datenblatt!$B$7,M456=Datenblatt!$B$7,NOT(M454=Datenblatt!$B$7)),"a",IF(AND(M455=Datenblatt!$B$7,M454=Datenblatt!$B$7,NOT(M456=Datenblatt!$B$7)),"b","")))</f>
        <v/>
      </c>
      <c r="Q455" s="19" t="str">
        <f t="shared" si="220"/>
        <v/>
      </c>
      <c r="R455" s="124" t="str">
        <f>IF(I455="","",IF(AND(OR(J455="Krankenstand",J455="Urlaub",J455=""), AND(G455=0,NOT(I455=""))),Datenblatt!$B$7,""))</f>
        <v/>
      </c>
      <c r="S455" s="19" t="str">
        <f>IF(OR(J455="Krankenstand",J455="Urlaub"),"",IF(J455="","",VLOOKUP(D455,Dienste!C:W,21,)))</f>
        <v/>
      </c>
      <c r="T455" s="18" t="str">
        <f>IF(OR(J455="Krankenstand",J455="Urlaub"),"",IF(J455="","",VLOOKUP(D455,Dienste!C:W,5,)))</f>
        <v/>
      </c>
      <c r="U455" s="18" t="str">
        <f>IF(OR(J455="Krankenstand",J455="Urlaub"),"",IF(J455="","",VLOOKUP(D455,Dienste!C:W,6,)))</f>
        <v/>
      </c>
      <c r="V455" s="18" t="str">
        <f>IF(OR(J455="Krankenstand",J455="Urlaub"),"",IF(J455="","",VLOOKUP(D455,Dienste!C:W,7,)))</f>
        <v/>
      </c>
      <c r="W455" s="18" t="str">
        <f>IF(OR(J455="Krankenstand",J455="Urlaub"),"",IF(J455="","",VLOOKUP(D455,Dienste!C:W,11,)))</f>
        <v/>
      </c>
      <c r="X455" s="18" t="str">
        <f>IF(OR(J455="Krankenstand",J455="Urlaub"),"",IF(J455="","",VLOOKUP(D455,Dienste!C:W,12,)))</f>
        <v/>
      </c>
      <c r="Y455" s="19" t="str">
        <f>IF(OR(J455="Krankenstand",J455="Urlaub"),"",IF(J455="","",VLOOKUP(D455,Dienste!C:W,14,)))</f>
        <v/>
      </c>
      <c r="Z455" s="20" t="str">
        <f>IF(OR(J455="Krankenstand",J455="Urlaub"),"",IF(J455="","",VLOOKUP(D455,Dienste!C:W,15,)))</f>
        <v/>
      </c>
      <c r="AA455" s="124" t="str">
        <f t="shared" si="211"/>
        <v/>
      </c>
      <c r="AB455" s="19" t="str">
        <f t="shared" si="212"/>
        <v/>
      </c>
      <c r="AC455" s="126" t="str">
        <f>_xlfn.CONCAT(_xlfn.CONCAT(IF(I455="","",_xlfn.CONCAT("FT: ",I455,IF(J455="","","; "))),IF(B455&lt;Datenblatt!$B$9,"",IF(B455="","",IF(NOT(J455=""),SUBSTITUTE(SUBSTITUTE(SUBSTITUTE(J455," mR","")," oR","")," O",""),"")))),IF(AF455="","",_xlfn.CONCAT(CHAR(10),"; ",AF455)))</f>
        <v/>
      </c>
      <c r="AD455" s="124" t="str">
        <f t="shared" si="221"/>
        <v/>
      </c>
      <c r="AE455" s="19">
        <f t="shared" si="213"/>
        <v>0</v>
      </c>
      <c r="AF455" s="156"/>
    </row>
    <row r="456" spans="2:32" s="9" customFormat="1" ht="13">
      <c r="B456" s="6">
        <f t="shared" si="214"/>
        <v>44919</v>
      </c>
      <c r="C456" s="45">
        <f>SMALL(Daten!W:W,COUNTIF(Daten!W:W,"&lt;"&amp;Stundenaufzeichnung!B456+1))</f>
        <v>44578</v>
      </c>
      <c r="D456" s="45" t="str">
        <f t="shared" si="209"/>
        <v/>
      </c>
      <c r="E456" s="8">
        <f t="shared" si="210"/>
        <v>1</v>
      </c>
      <c r="F456" s="8">
        <f t="shared" si="215"/>
        <v>6</v>
      </c>
      <c r="G456" s="8">
        <f>IF(B456="","",VLOOKUP(E456,Datenblatt!$L$2:$N$8,3,FALSE))</f>
        <v>0</v>
      </c>
      <c r="H456" s="8" t="str">
        <f t="shared" si="216"/>
        <v/>
      </c>
      <c r="I456" s="11" t="str">
        <f>IFERROR(VLOOKUP(B456,Datenblatt!$E:$F,2,FALSE),"")</f>
        <v/>
      </c>
      <c r="J456" s="113"/>
      <c r="K456" s="19">
        <f>IF(B456&lt;Datenblatt!$B$9,"",IF(B456="","",IF(G456=0,Datenblatt!$B$7,"")))</f>
        <v>6.67</v>
      </c>
      <c r="L456" s="19" t="str">
        <f t="shared" si="217"/>
        <v/>
      </c>
      <c r="M456" s="124" t="str">
        <f t="shared" si="218"/>
        <v/>
      </c>
      <c r="N456" s="124" t="str">
        <f>IF(AND(L456=Datenblatt!$B$7,NOT(L455=Datenblatt!$B$7),NOT(L457=Datenblatt!$B$7)),"y",IF(AND(L456=Datenblatt!$B$7,L457=Datenblatt!$B$7,NOT(L455=Datenblatt!$B$7)),"a",IF(AND(L456=Datenblatt!$B$7,L455=Datenblatt!$B$7,NOT(L457=Datenblatt!$B$7)),"b","")))</f>
        <v/>
      </c>
      <c r="O456" s="19" t="str">
        <f t="shared" si="219"/>
        <v/>
      </c>
      <c r="P456" s="124" t="str">
        <f>IF(AND(M456=Datenblatt!$B$7,NOT(M455=Datenblatt!$B$7),NOT(M457=Datenblatt!$B$7)),"y",IF(AND(M456=Datenblatt!$B$7,M457=Datenblatt!$B$7,NOT(M455=Datenblatt!$B$7)),"a",IF(AND(M456=Datenblatt!$B$7,M455=Datenblatt!$B$7,NOT(M457=Datenblatt!$B$7)),"b","")))</f>
        <v/>
      </c>
      <c r="Q456" s="19" t="str">
        <f t="shared" si="220"/>
        <v/>
      </c>
      <c r="R456" s="124" t="str">
        <f>IF(I456="","",IF(AND(OR(J456="Krankenstand",J456="Urlaub",J456=""), AND(G456=0,NOT(I456=""))),Datenblatt!$B$7,""))</f>
        <v/>
      </c>
      <c r="S456" s="19" t="str">
        <f>IF(OR(J456="Krankenstand",J456="Urlaub"),"",IF(J456="","",VLOOKUP(D456,Dienste!C:W,21,)))</f>
        <v/>
      </c>
      <c r="T456" s="18" t="str">
        <f>IF(OR(J456="Krankenstand",J456="Urlaub"),"",IF(J456="","",VLOOKUP(D456,Dienste!C:W,5,)))</f>
        <v/>
      </c>
      <c r="U456" s="18" t="str">
        <f>IF(OR(J456="Krankenstand",J456="Urlaub"),"",IF(J456="","",VLOOKUP(D456,Dienste!C:W,6,)))</f>
        <v/>
      </c>
      <c r="V456" s="18" t="str">
        <f>IF(OR(J456="Krankenstand",J456="Urlaub"),"",IF(J456="","",VLOOKUP(D456,Dienste!C:W,7,)))</f>
        <v/>
      </c>
      <c r="W456" s="18" t="str">
        <f>IF(OR(J456="Krankenstand",J456="Urlaub"),"",IF(J456="","",VLOOKUP(D456,Dienste!C:W,11,)))</f>
        <v/>
      </c>
      <c r="X456" s="18" t="str">
        <f>IF(OR(J456="Krankenstand",J456="Urlaub"),"",IF(J456="","",VLOOKUP(D456,Dienste!C:W,12,)))</f>
        <v/>
      </c>
      <c r="Y456" s="19" t="str">
        <f>IF(OR(J456="Krankenstand",J456="Urlaub"),"",IF(J456="","",VLOOKUP(D456,Dienste!C:W,14,)))</f>
        <v/>
      </c>
      <c r="Z456" s="20" t="str">
        <f>IF(OR(J456="Krankenstand",J456="Urlaub"),"",IF(J456="","",VLOOKUP(D456,Dienste!C:W,15,)))</f>
        <v/>
      </c>
      <c r="AA456" s="124" t="str">
        <f t="shared" si="211"/>
        <v/>
      </c>
      <c r="AB456" s="19" t="str">
        <f t="shared" si="212"/>
        <v/>
      </c>
      <c r="AC456" s="126" t="str">
        <f>_xlfn.CONCAT(_xlfn.CONCAT(IF(I456="","",_xlfn.CONCAT("FT: ",I456,IF(J456="","","; "))),IF(B456&lt;Datenblatt!$B$9,"",IF(B456="","",IF(NOT(J456=""),SUBSTITUTE(SUBSTITUTE(SUBSTITUTE(J456," mR","")," oR","")," O",""),"")))),IF(AF456="","",_xlfn.CONCAT(CHAR(10),"; ",AF456)))</f>
        <v/>
      </c>
      <c r="AD456" s="124" t="str">
        <f t="shared" si="221"/>
        <v/>
      </c>
      <c r="AE456" s="19">
        <f t="shared" si="213"/>
        <v>0</v>
      </c>
      <c r="AF456" s="156"/>
    </row>
    <row r="457" spans="2:32" s="9" customFormat="1" ht="13">
      <c r="B457" s="6">
        <f t="shared" si="214"/>
        <v>44920</v>
      </c>
      <c r="C457" s="45">
        <f>SMALL(Daten!W:W,COUNTIF(Daten!W:W,"&lt;"&amp;Stundenaufzeichnung!B457+1))</f>
        <v>44578</v>
      </c>
      <c r="D457" s="45" t="str">
        <f t="shared" si="209"/>
        <v/>
      </c>
      <c r="E457" s="8">
        <f t="shared" si="210"/>
        <v>2</v>
      </c>
      <c r="F457" s="8">
        <f t="shared" si="215"/>
        <v>7</v>
      </c>
      <c r="G457" s="8">
        <f>IF(B457="","",VLOOKUP(E457,Datenblatt!$L$2:$N$8,3,FALSE))</f>
        <v>1</v>
      </c>
      <c r="H457" s="8" t="str">
        <f t="shared" si="216"/>
        <v>x</v>
      </c>
      <c r="I457" s="11" t="str">
        <f>IFERROR(VLOOKUP(B457,Datenblatt!$E:$F,2,FALSE),"")</f>
        <v>Christtag</v>
      </c>
      <c r="J457" s="113"/>
      <c r="K457" s="19" t="str">
        <f>IF(B457&lt;Datenblatt!$B$9,"",IF(B457="","",IF(G457=0,Datenblatt!$B$7,"")))</f>
        <v/>
      </c>
      <c r="L457" s="19" t="str">
        <f t="shared" si="217"/>
        <v/>
      </c>
      <c r="M457" s="124" t="str">
        <f t="shared" si="218"/>
        <v/>
      </c>
      <c r="N457" s="124" t="str">
        <f>IF(AND(L457=Datenblatt!$B$7,NOT(L456=Datenblatt!$B$7),NOT(L458=Datenblatt!$B$7)),"y",IF(AND(L457=Datenblatt!$B$7,L458=Datenblatt!$B$7,NOT(L456=Datenblatt!$B$7)),"a",IF(AND(L457=Datenblatt!$B$7,L456=Datenblatt!$B$7,NOT(L458=Datenblatt!$B$7)),"b","")))</f>
        <v/>
      </c>
      <c r="O457" s="19" t="str">
        <f t="shared" si="219"/>
        <v/>
      </c>
      <c r="P457" s="124" t="str">
        <f>IF(AND(M457=Datenblatt!$B$7,NOT(M456=Datenblatt!$B$7),NOT(M458=Datenblatt!$B$7)),"y",IF(AND(M457=Datenblatt!$B$7,M458=Datenblatt!$B$7,NOT(M456=Datenblatt!$B$7)),"a",IF(AND(M457=Datenblatt!$B$7,M456=Datenblatt!$B$7,NOT(M458=Datenblatt!$B$7)),"b","")))</f>
        <v/>
      </c>
      <c r="Q457" s="19" t="str">
        <f t="shared" si="220"/>
        <v/>
      </c>
      <c r="R457" s="124" t="str">
        <f>IF(I457="","",IF(AND(OR(J457="Krankenstand",J457="Urlaub",J457=""), AND(G457=0,NOT(I457=""))),Datenblatt!$B$7,""))</f>
        <v/>
      </c>
      <c r="S457" s="19" t="str">
        <f>IF(OR(J457="Krankenstand",J457="Urlaub"),"",IF(J457="","",VLOOKUP(D457,Dienste!C:W,21,)))</f>
        <v/>
      </c>
      <c r="T457" s="18" t="str">
        <f>IF(OR(J457="Krankenstand",J457="Urlaub"),"",IF(J457="","",VLOOKUP(D457,Dienste!C:W,5,)))</f>
        <v/>
      </c>
      <c r="U457" s="18" t="str">
        <f>IF(OR(J457="Krankenstand",J457="Urlaub"),"",IF(J457="","",VLOOKUP(D457,Dienste!C:W,6,)))</f>
        <v/>
      </c>
      <c r="V457" s="18" t="str">
        <f>IF(OR(J457="Krankenstand",J457="Urlaub"),"",IF(J457="","",VLOOKUP(D457,Dienste!C:W,7,)))</f>
        <v/>
      </c>
      <c r="W457" s="18" t="str">
        <f>IF(OR(J457="Krankenstand",J457="Urlaub"),"",IF(J457="","",VLOOKUP(D457,Dienste!C:W,11,)))</f>
        <v/>
      </c>
      <c r="X457" s="18" t="str">
        <f>IF(OR(J457="Krankenstand",J457="Urlaub"),"",IF(J457="","",VLOOKUP(D457,Dienste!C:W,12,)))</f>
        <v/>
      </c>
      <c r="Y457" s="19" t="str">
        <f>IF(OR(J457="Krankenstand",J457="Urlaub"),"",IF(J457="","",VLOOKUP(D457,Dienste!C:W,14,)))</f>
        <v/>
      </c>
      <c r="Z457" s="20" t="str">
        <f>IF(OR(J457="Krankenstand",J457="Urlaub"),"",IF(J457="","",VLOOKUP(D457,Dienste!C:W,15,)))</f>
        <v/>
      </c>
      <c r="AA457" s="124" t="str">
        <f t="shared" si="211"/>
        <v/>
      </c>
      <c r="AB457" s="19" t="str">
        <f t="shared" si="212"/>
        <v/>
      </c>
      <c r="AC457" s="126" t="str">
        <f>_xlfn.CONCAT(_xlfn.CONCAT(IF(I457="","",_xlfn.CONCAT("FT: ",I457,IF(J457="","","; "))),IF(B457&lt;Datenblatt!$B$9,"",IF(B457="","",IF(NOT(J457=""),SUBSTITUTE(SUBSTITUTE(SUBSTITUTE(J457," mR","")," oR","")," O",""),"")))),IF(AF457="","",_xlfn.CONCAT(CHAR(10),"; ",AF457)))</f>
        <v>FT: Christtag</v>
      </c>
      <c r="AD457" s="124" t="str">
        <f t="shared" si="221"/>
        <v/>
      </c>
      <c r="AE457" s="19">
        <f t="shared" si="213"/>
        <v>0</v>
      </c>
      <c r="AF457" s="156"/>
    </row>
    <row r="458" spans="2:32" s="9" customFormat="1" ht="13">
      <c r="B458" s="6">
        <f t="shared" si="214"/>
        <v>44921</v>
      </c>
      <c r="C458" s="45">
        <f>SMALL(Daten!W:W,COUNTIF(Daten!W:W,"&lt;"&amp;Stundenaufzeichnung!B458+1))</f>
        <v>44578</v>
      </c>
      <c r="D458" s="45" t="str">
        <f t="shared" si="209"/>
        <v/>
      </c>
      <c r="E458" s="8">
        <f t="shared" si="210"/>
        <v>3</v>
      </c>
      <c r="F458" s="8">
        <f t="shared" si="215"/>
        <v>1</v>
      </c>
      <c r="G458" s="8">
        <f>IF(B458="","",VLOOKUP(E458,Datenblatt!$L$2:$N$8,3,FALSE))</f>
        <v>0</v>
      </c>
      <c r="H458" s="8" t="str">
        <f t="shared" si="216"/>
        <v>x</v>
      </c>
      <c r="I458" s="11" t="str">
        <f>IFERROR(VLOOKUP(B458,Datenblatt!$E:$F,2,FALSE),"")</f>
        <v>Stefanitag</v>
      </c>
      <c r="J458" s="113"/>
      <c r="K458" s="19">
        <f>IF(B458&lt;Datenblatt!$B$9,"",IF(B458="","",IF(G458=0,Datenblatt!$B$7,"")))</f>
        <v>6.67</v>
      </c>
      <c r="L458" s="19" t="str">
        <f t="shared" si="217"/>
        <v/>
      </c>
      <c r="M458" s="124" t="str">
        <f t="shared" si="218"/>
        <v/>
      </c>
      <c r="N458" s="124" t="str">
        <f>IF(AND(L458=Datenblatt!$B$7,NOT(L457=Datenblatt!$B$7),NOT(L459=Datenblatt!$B$7)),"y",IF(AND(L458=Datenblatt!$B$7,L459=Datenblatt!$B$7,NOT(L457=Datenblatt!$B$7)),"a",IF(AND(L458=Datenblatt!$B$7,L457=Datenblatt!$B$7,NOT(L459=Datenblatt!$B$7)),"b","")))</f>
        <v/>
      </c>
      <c r="O458" s="19" t="str">
        <f t="shared" si="219"/>
        <v/>
      </c>
      <c r="P458" s="124" t="str">
        <f>IF(AND(M458=Datenblatt!$B$7,NOT(M457=Datenblatt!$B$7),NOT(M459=Datenblatt!$B$7)),"y",IF(AND(M458=Datenblatt!$B$7,M459=Datenblatt!$B$7,NOT(M457=Datenblatt!$B$7)),"a",IF(AND(M458=Datenblatt!$B$7,M457=Datenblatt!$B$7,NOT(M459=Datenblatt!$B$7)),"b","")))</f>
        <v/>
      </c>
      <c r="Q458" s="19" t="str">
        <f t="shared" si="220"/>
        <v/>
      </c>
      <c r="R458" s="124">
        <f>IF(I458="","",IF(AND(OR(J458="Krankenstand",J458="Urlaub",J458=""), AND(G458=0,NOT(I458=""))),Datenblatt!$B$7,""))</f>
        <v>6.67</v>
      </c>
      <c r="S458" s="19" t="str">
        <f>IF(OR(J458="Krankenstand",J458="Urlaub"),"",IF(J458="","",VLOOKUP(D458,Dienste!C:W,21,)))</f>
        <v/>
      </c>
      <c r="T458" s="18" t="str">
        <f>IF(OR(J458="Krankenstand",J458="Urlaub"),"",IF(J458="","",VLOOKUP(D458,Dienste!C:W,5,)))</f>
        <v/>
      </c>
      <c r="U458" s="18" t="str">
        <f>IF(OR(J458="Krankenstand",J458="Urlaub"),"",IF(J458="","",VLOOKUP(D458,Dienste!C:W,6,)))</f>
        <v/>
      </c>
      <c r="V458" s="18" t="str">
        <f>IF(OR(J458="Krankenstand",J458="Urlaub"),"",IF(J458="","",VLOOKUP(D458,Dienste!C:W,7,)))</f>
        <v/>
      </c>
      <c r="W458" s="18" t="str">
        <f>IF(OR(J458="Krankenstand",J458="Urlaub"),"",IF(J458="","",VLOOKUP(D458,Dienste!C:W,11,)))</f>
        <v/>
      </c>
      <c r="X458" s="18" t="str">
        <f>IF(OR(J458="Krankenstand",J458="Urlaub"),"",IF(J458="","",VLOOKUP(D458,Dienste!C:W,12,)))</f>
        <v/>
      </c>
      <c r="Y458" s="19" t="str">
        <f>IF(OR(J458="Krankenstand",J458="Urlaub"),"",IF(J458="","",VLOOKUP(D458,Dienste!C:W,14,)))</f>
        <v/>
      </c>
      <c r="Z458" s="20" t="str">
        <f>IF(OR(J458="Krankenstand",J458="Urlaub"),"",IF(J458="","",VLOOKUP(D458,Dienste!C:W,15,)))</f>
        <v/>
      </c>
      <c r="AA458" s="124" t="str">
        <f t="shared" si="211"/>
        <v/>
      </c>
      <c r="AB458" s="19" t="str">
        <f t="shared" si="212"/>
        <v/>
      </c>
      <c r="AC458" s="126" t="str">
        <f>_xlfn.CONCAT(_xlfn.CONCAT(IF(I458="","",_xlfn.CONCAT("FT: ",I458,IF(J458="","","; "))),IF(B458&lt;Datenblatt!$B$9,"",IF(B458="","",IF(NOT(J458=""),SUBSTITUTE(SUBSTITUTE(SUBSTITUTE(J458," mR","")," oR","")," O",""),"")))),IF(AF458="","",_xlfn.CONCAT(CHAR(10),"; ",AF458)))</f>
        <v>FT: Stefanitag</v>
      </c>
      <c r="AD458" s="124">
        <f t="shared" si="221"/>
        <v>6.67</v>
      </c>
      <c r="AE458" s="19">
        <f t="shared" si="213"/>
        <v>0</v>
      </c>
      <c r="AF458" s="156"/>
    </row>
    <row r="459" spans="2:32" s="9" customFormat="1" ht="13">
      <c r="B459" s="6">
        <f t="shared" si="214"/>
        <v>44922</v>
      </c>
      <c r="C459" s="45">
        <f>SMALL(Daten!W:W,COUNTIF(Daten!W:W,"&lt;"&amp;Stundenaufzeichnung!B459+1))</f>
        <v>44578</v>
      </c>
      <c r="D459" s="45" t="str">
        <f t="shared" si="209"/>
        <v/>
      </c>
      <c r="E459" s="8">
        <f t="shared" si="210"/>
        <v>4</v>
      </c>
      <c r="F459" s="8">
        <f t="shared" si="215"/>
        <v>2</v>
      </c>
      <c r="G459" s="8">
        <f>IF(B459="","",VLOOKUP(E459,Datenblatt!$L$2:$N$8,3,FALSE))</f>
        <v>0</v>
      </c>
      <c r="H459" s="8" t="str">
        <f t="shared" si="216"/>
        <v/>
      </c>
      <c r="I459" s="11" t="str">
        <f>IFERROR(VLOOKUP(B459,Datenblatt!$E:$F,2,FALSE),"")</f>
        <v/>
      </c>
      <c r="J459" s="113"/>
      <c r="K459" s="19">
        <f>IF(B459&lt;Datenblatt!$B$9,"",IF(B459="","",IF(G459=0,Datenblatt!$B$7,"")))</f>
        <v>6.67</v>
      </c>
      <c r="L459" s="19" t="str">
        <f t="shared" si="217"/>
        <v/>
      </c>
      <c r="M459" s="124" t="str">
        <f t="shared" si="218"/>
        <v/>
      </c>
      <c r="N459" s="124" t="str">
        <f>IF(AND(L459=Datenblatt!$B$7,NOT(L458=Datenblatt!$B$7),NOT(L460=Datenblatt!$B$7)),"y",IF(AND(L459=Datenblatt!$B$7,L460=Datenblatt!$B$7,NOT(L458=Datenblatt!$B$7)),"a",IF(AND(L459=Datenblatt!$B$7,L458=Datenblatt!$B$7,NOT(L460=Datenblatt!$B$7)),"b","")))</f>
        <v/>
      </c>
      <c r="O459" s="19" t="str">
        <f t="shared" si="219"/>
        <v/>
      </c>
      <c r="P459" s="124" t="str">
        <f>IF(AND(M459=Datenblatt!$B$7,NOT(M458=Datenblatt!$B$7),NOT(M460=Datenblatt!$B$7)),"y",IF(AND(M459=Datenblatt!$B$7,M460=Datenblatt!$B$7,NOT(M458=Datenblatt!$B$7)),"a",IF(AND(M459=Datenblatt!$B$7,M458=Datenblatt!$B$7,NOT(M460=Datenblatt!$B$7)),"b","")))</f>
        <v/>
      </c>
      <c r="Q459" s="19" t="str">
        <f t="shared" si="220"/>
        <v/>
      </c>
      <c r="R459" s="124" t="str">
        <f>IF(I459="","",IF(AND(OR(J459="Krankenstand",J459="Urlaub",J459=""), AND(G459=0,NOT(I459=""))),Datenblatt!$B$7,""))</f>
        <v/>
      </c>
      <c r="S459" s="19" t="str">
        <f>IF(OR(J459="Krankenstand",J459="Urlaub"),"",IF(J459="","",VLOOKUP(D459,Dienste!C:W,21,)))</f>
        <v/>
      </c>
      <c r="T459" s="18" t="str">
        <f>IF(OR(J459="Krankenstand",J459="Urlaub"),"",IF(J459="","",VLOOKUP(D459,Dienste!C:W,5,)))</f>
        <v/>
      </c>
      <c r="U459" s="18" t="str">
        <f>IF(OR(J459="Krankenstand",J459="Urlaub"),"",IF(J459="","",VLOOKUP(D459,Dienste!C:W,6,)))</f>
        <v/>
      </c>
      <c r="V459" s="18" t="str">
        <f>IF(OR(J459="Krankenstand",J459="Urlaub"),"",IF(J459="","",VLOOKUP(D459,Dienste!C:W,7,)))</f>
        <v/>
      </c>
      <c r="W459" s="18" t="str">
        <f>IF(OR(J459="Krankenstand",J459="Urlaub"),"",IF(J459="","",VLOOKUP(D459,Dienste!C:W,11,)))</f>
        <v/>
      </c>
      <c r="X459" s="18" t="str">
        <f>IF(OR(J459="Krankenstand",J459="Urlaub"),"",IF(J459="","",VLOOKUP(D459,Dienste!C:W,12,)))</f>
        <v/>
      </c>
      <c r="Y459" s="19" t="str">
        <f>IF(OR(J459="Krankenstand",J459="Urlaub"),"",IF(J459="","",VLOOKUP(D459,Dienste!C:W,14,)))</f>
        <v/>
      </c>
      <c r="Z459" s="20" t="str">
        <f>IF(OR(J459="Krankenstand",J459="Urlaub"),"",IF(J459="","",VLOOKUP(D459,Dienste!C:W,15,)))</f>
        <v/>
      </c>
      <c r="AA459" s="124" t="str">
        <f t="shared" si="211"/>
        <v/>
      </c>
      <c r="AB459" s="19" t="str">
        <f t="shared" si="212"/>
        <v/>
      </c>
      <c r="AC459" s="126" t="str">
        <f>_xlfn.CONCAT(_xlfn.CONCAT(IF(I459="","",_xlfn.CONCAT("FT: ",I459,IF(J459="","","; "))),IF(B459&lt;Datenblatt!$B$9,"",IF(B459="","",IF(NOT(J459=""),SUBSTITUTE(SUBSTITUTE(SUBSTITUTE(J459," mR","")," oR","")," O",""),"")))),IF(AF459="","",_xlfn.CONCAT(CHAR(10),"; ",AF459)))</f>
        <v/>
      </c>
      <c r="AD459" s="124" t="str">
        <f t="shared" si="221"/>
        <v/>
      </c>
      <c r="AE459" s="19">
        <f t="shared" si="213"/>
        <v>0</v>
      </c>
      <c r="AF459" s="156"/>
    </row>
    <row r="460" spans="2:32" s="9" customFormat="1" ht="13">
      <c r="B460" s="6">
        <f t="shared" si="214"/>
        <v>44923</v>
      </c>
      <c r="C460" s="45">
        <f>SMALL(Daten!W:W,COUNTIF(Daten!W:W,"&lt;"&amp;Stundenaufzeichnung!B460+1))</f>
        <v>44578</v>
      </c>
      <c r="D460" s="45" t="str">
        <f t="shared" si="209"/>
        <v/>
      </c>
      <c r="E460" s="8">
        <f t="shared" si="210"/>
        <v>5</v>
      </c>
      <c r="F460" s="8">
        <f t="shared" si="215"/>
        <v>3</v>
      </c>
      <c r="G460" s="8">
        <f>IF(B460="","",VLOOKUP(E460,Datenblatt!$L$2:$N$8,3,FALSE))</f>
        <v>0</v>
      </c>
      <c r="H460" s="8" t="str">
        <f t="shared" si="216"/>
        <v/>
      </c>
      <c r="I460" s="11" t="str">
        <f>IFERROR(VLOOKUP(B460,Datenblatt!$E:$F,2,FALSE),"")</f>
        <v/>
      </c>
      <c r="J460" s="113"/>
      <c r="K460" s="19">
        <f>IF(B460&lt;Datenblatt!$B$9,"",IF(B460="","",IF(G460=0,Datenblatt!$B$7,"")))</f>
        <v>6.67</v>
      </c>
      <c r="L460" s="19" t="str">
        <f t="shared" si="217"/>
        <v/>
      </c>
      <c r="M460" s="124" t="str">
        <f t="shared" si="218"/>
        <v/>
      </c>
      <c r="N460" s="124" t="str">
        <f>IF(AND(L460=Datenblatt!$B$7,NOT(L459=Datenblatt!$B$7),NOT(L461=Datenblatt!$B$7)),"y",IF(AND(L460=Datenblatt!$B$7,L461=Datenblatt!$B$7,NOT(L459=Datenblatt!$B$7)),"a",IF(AND(L460=Datenblatt!$B$7,L459=Datenblatt!$B$7,NOT(L461=Datenblatt!$B$7)),"b","")))</f>
        <v/>
      </c>
      <c r="O460" s="19" t="str">
        <f t="shared" si="219"/>
        <v/>
      </c>
      <c r="P460" s="124" t="str">
        <f>IF(AND(M460=Datenblatt!$B$7,NOT(M459=Datenblatt!$B$7),NOT(M461=Datenblatt!$B$7)),"y",IF(AND(M460=Datenblatt!$B$7,M461=Datenblatt!$B$7,NOT(M459=Datenblatt!$B$7)),"a",IF(AND(M460=Datenblatt!$B$7,M459=Datenblatt!$B$7,NOT(M461=Datenblatt!$B$7)),"b","")))</f>
        <v/>
      </c>
      <c r="Q460" s="19" t="str">
        <f t="shared" si="220"/>
        <v/>
      </c>
      <c r="R460" s="124" t="str">
        <f>IF(I460="","",IF(AND(OR(J460="Krankenstand",J460="Urlaub",J460=""), AND(G460=0,NOT(I460=""))),Datenblatt!$B$7,""))</f>
        <v/>
      </c>
      <c r="S460" s="19" t="str">
        <f>IF(OR(J460="Krankenstand",J460="Urlaub"),"",IF(J460="","",VLOOKUP(D460,Dienste!C:W,21,)))</f>
        <v/>
      </c>
      <c r="T460" s="18" t="str">
        <f>IF(OR(J460="Krankenstand",J460="Urlaub"),"",IF(J460="","",VLOOKUP(D460,Dienste!C:W,5,)))</f>
        <v/>
      </c>
      <c r="U460" s="18" t="str">
        <f>IF(OR(J460="Krankenstand",J460="Urlaub"),"",IF(J460="","",VLOOKUP(D460,Dienste!C:W,6,)))</f>
        <v/>
      </c>
      <c r="V460" s="18" t="str">
        <f>IF(OR(J460="Krankenstand",J460="Urlaub"),"",IF(J460="","",VLOOKUP(D460,Dienste!C:W,7,)))</f>
        <v/>
      </c>
      <c r="W460" s="18" t="str">
        <f>IF(OR(J460="Krankenstand",J460="Urlaub"),"",IF(J460="","",VLOOKUP(D460,Dienste!C:W,11,)))</f>
        <v/>
      </c>
      <c r="X460" s="18" t="str">
        <f>IF(OR(J460="Krankenstand",J460="Urlaub"),"",IF(J460="","",VLOOKUP(D460,Dienste!C:W,12,)))</f>
        <v/>
      </c>
      <c r="Y460" s="19" t="str">
        <f>IF(OR(J460="Krankenstand",J460="Urlaub"),"",IF(J460="","",VLOOKUP(D460,Dienste!C:W,14,)))</f>
        <v/>
      </c>
      <c r="Z460" s="20" t="str">
        <f>IF(OR(J460="Krankenstand",J460="Urlaub"),"",IF(J460="","",VLOOKUP(D460,Dienste!C:W,15,)))</f>
        <v/>
      </c>
      <c r="AA460" s="124" t="str">
        <f t="shared" si="211"/>
        <v/>
      </c>
      <c r="AB460" s="19" t="str">
        <f t="shared" si="212"/>
        <v/>
      </c>
      <c r="AC460" s="126" t="str">
        <f>_xlfn.CONCAT(_xlfn.CONCAT(IF(I460="","",_xlfn.CONCAT("FT: ",I460,IF(J460="","","; "))),IF(B460&lt;Datenblatt!$B$9,"",IF(B460="","",IF(NOT(J460=""),SUBSTITUTE(SUBSTITUTE(SUBSTITUTE(J460," mR","")," oR","")," O",""),"")))),IF(AF460="","",_xlfn.CONCAT(CHAR(10),"; ",AF460)))</f>
        <v/>
      </c>
      <c r="AD460" s="124" t="str">
        <f t="shared" si="221"/>
        <v/>
      </c>
      <c r="AE460" s="19">
        <f t="shared" si="213"/>
        <v>0</v>
      </c>
      <c r="AF460" s="156"/>
    </row>
    <row r="461" spans="2:32" s="9" customFormat="1" ht="13">
      <c r="B461" s="6">
        <f>IF(B460="","",IF(DAY(B460+1)&lt;29,"",B460+1))</f>
        <v>44924</v>
      </c>
      <c r="C461" s="45">
        <f>SMALL(Daten!W:W,COUNTIF(Daten!W:W,"&lt;"&amp;Stundenaufzeichnung!B461+1))</f>
        <v>44578</v>
      </c>
      <c r="D461" s="45" t="str">
        <f t="shared" si="209"/>
        <v/>
      </c>
      <c r="E461" s="8">
        <f t="shared" si="210"/>
        <v>6</v>
      </c>
      <c r="F461" s="8">
        <f>IF(B461="","",MOD(E461+$F$3,7)+1)</f>
        <v>4</v>
      </c>
      <c r="G461" s="8">
        <f>IF(B461="","",VLOOKUP(E461,Datenblatt!$L$2:$N$8,3,FALSE))</f>
        <v>0</v>
      </c>
      <c r="H461" s="8" t="str">
        <f t="shared" si="216"/>
        <v/>
      </c>
      <c r="I461" s="11" t="str">
        <f>IFERROR(VLOOKUP(B461,Datenblatt!$E:$F,2,FALSE),"")</f>
        <v/>
      </c>
      <c r="J461" s="113"/>
      <c r="K461" s="19">
        <f>IF(B461&lt;Datenblatt!$B$9,"",IF(B461="","",IF(G461=0,Datenblatt!$B$7,"")))</f>
        <v>6.67</v>
      </c>
      <c r="L461" s="19" t="str">
        <f t="shared" si="217"/>
        <v/>
      </c>
      <c r="M461" s="124" t="str">
        <f t="shared" si="218"/>
        <v/>
      </c>
      <c r="N461" s="124" t="str">
        <f>IF(AND(L461=Datenblatt!$B$7,NOT(L460=Datenblatt!$B$7),NOT(L462=Datenblatt!$B$7)),"y",IF(AND(L461=Datenblatt!$B$7,L462=Datenblatt!$B$7,NOT(L460=Datenblatt!$B$7)),"a",IF(AND(L461=Datenblatt!$B$7,L460=Datenblatt!$B$7,NOT(L462=Datenblatt!$B$7)),"b","")))</f>
        <v/>
      </c>
      <c r="O461" s="19" t="str">
        <f t="shared" si="219"/>
        <v/>
      </c>
      <c r="P461" s="124" t="str">
        <f>IF(AND(M461=Datenblatt!$B$7,NOT(M460=Datenblatt!$B$7),NOT(M462=Datenblatt!$B$7)),"y",IF(AND(M461=Datenblatt!$B$7,M462=Datenblatt!$B$7,NOT(M460=Datenblatt!$B$7)),"a",IF(AND(M461=Datenblatt!$B$7,M460=Datenblatt!$B$7,NOT(M462=Datenblatt!$B$7)),"b","")))</f>
        <v/>
      </c>
      <c r="Q461" s="19" t="str">
        <f t="shared" si="220"/>
        <v/>
      </c>
      <c r="R461" s="124" t="str">
        <f>IF(I461="","",IF(AND(OR(J461="Krankenstand",J461="Urlaub",J461=""), AND(G461=0,NOT(I461=""))),Datenblatt!$B$7,""))</f>
        <v/>
      </c>
      <c r="S461" s="19" t="str">
        <f>IF(OR(J461="Krankenstand",J461="Urlaub"),"",IF(J461="","",VLOOKUP(D461,Dienste!C:W,21,)))</f>
        <v/>
      </c>
      <c r="T461" s="18" t="str">
        <f>IF(OR(J461="Krankenstand",J461="Urlaub"),"",IF(J461="","",VLOOKUP(D461,Dienste!C:W,5,)))</f>
        <v/>
      </c>
      <c r="U461" s="18" t="str">
        <f>IF(OR(J461="Krankenstand",J461="Urlaub"),"",IF(J461="","",VLOOKUP(D461,Dienste!C:W,6,)))</f>
        <v/>
      </c>
      <c r="V461" s="18" t="str">
        <f>IF(OR(J461="Krankenstand",J461="Urlaub"),"",IF(J461="","",VLOOKUP(D461,Dienste!C:W,7,)))</f>
        <v/>
      </c>
      <c r="W461" s="18" t="str">
        <f>IF(OR(J461="Krankenstand",J461="Urlaub"),"",IF(J461="","",VLOOKUP(D461,Dienste!C:W,11,)))</f>
        <v/>
      </c>
      <c r="X461" s="18" t="str">
        <f>IF(OR(J461="Krankenstand",J461="Urlaub"),"",IF(J461="","",VLOOKUP(D461,Dienste!C:W,12,)))</f>
        <v/>
      </c>
      <c r="Y461" s="19" t="str">
        <f>IF(OR(J461="Krankenstand",J461="Urlaub"),"",IF(J461="","",VLOOKUP(D461,Dienste!C:W,14,)))</f>
        <v/>
      </c>
      <c r="Z461" s="20" t="str">
        <f>IF(OR(J461="Krankenstand",J461="Urlaub"),"",IF(J461="","",VLOOKUP(D461,Dienste!C:W,15,)))</f>
        <v/>
      </c>
      <c r="AA461" s="124" t="str">
        <f t="shared" si="211"/>
        <v/>
      </c>
      <c r="AB461" s="19" t="str">
        <f t="shared" si="212"/>
        <v/>
      </c>
      <c r="AC461" s="126" t="str">
        <f>_xlfn.CONCAT(_xlfn.CONCAT(IF(I461="","",_xlfn.CONCAT("FT: ",I461,IF(J461="","","; "))),IF(B461&lt;Datenblatt!$B$9,"",IF(B461="","",IF(NOT(J461=""),SUBSTITUTE(SUBSTITUTE(SUBSTITUTE(J461," mR","")," oR","")," O",""),"")))),IF(AF461="","",_xlfn.CONCAT(CHAR(10),"; ",AF461)))</f>
        <v/>
      </c>
      <c r="AD461" s="124" t="str">
        <f t="shared" si="221"/>
        <v/>
      </c>
      <c r="AE461" s="19">
        <f t="shared" si="213"/>
        <v>0</v>
      </c>
      <c r="AF461" s="156"/>
    </row>
    <row r="462" spans="2:32" s="9" customFormat="1" ht="13">
      <c r="B462" s="6">
        <f>IF(B461="","",IF(DAY(B461+1)&lt;30,"",B461+1))</f>
        <v>44925</v>
      </c>
      <c r="C462" s="45">
        <f>SMALL(Daten!W:W,COUNTIF(Daten!W:W,"&lt;"&amp;Stundenaufzeichnung!B462+1))</f>
        <v>44578</v>
      </c>
      <c r="D462" s="45" t="str">
        <f t="shared" si="209"/>
        <v/>
      </c>
      <c r="E462" s="8">
        <f t="shared" si="210"/>
        <v>7</v>
      </c>
      <c r="F462" s="8">
        <f>IF(B462="","",MOD(E462+$F$3,7)+1)</f>
        <v>5</v>
      </c>
      <c r="G462" s="8">
        <f>IF(B462="","",VLOOKUP(E462,Datenblatt!$L$2:$N$8,3,FALSE))</f>
        <v>0</v>
      </c>
      <c r="H462" s="8" t="str">
        <f t="shared" si="216"/>
        <v/>
      </c>
      <c r="I462" s="11" t="str">
        <f>IFERROR(VLOOKUP(B462,Datenblatt!$E:$F,2,FALSE),"")</f>
        <v/>
      </c>
      <c r="J462" s="113"/>
      <c r="K462" s="19">
        <f>IF(B462&lt;Datenblatt!$B$9,"",IF(B462="","",IF(G462=0,Datenblatt!$B$7,"")))</f>
        <v>6.67</v>
      </c>
      <c r="L462" s="19" t="str">
        <f t="shared" si="217"/>
        <v/>
      </c>
      <c r="M462" s="124" t="str">
        <f t="shared" si="218"/>
        <v/>
      </c>
      <c r="N462" s="124" t="str">
        <f>IF(AND(L462=Datenblatt!$B$7,NOT(L461=Datenblatt!$B$7),NOT(L463=Datenblatt!$B$7)),"y",IF(AND(L462=Datenblatt!$B$7,L463=Datenblatt!$B$7,NOT(L461=Datenblatt!$B$7)),"a",IF(AND(L462=Datenblatt!$B$7,L461=Datenblatt!$B$7,NOT(L463=Datenblatt!$B$7)),"b","")))</f>
        <v/>
      </c>
      <c r="O462" s="19" t="str">
        <f t="shared" si="219"/>
        <v/>
      </c>
      <c r="P462" s="124" t="str">
        <f>IF(AND(M462=Datenblatt!$B$7,NOT(M461=Datenblatt!$B$7),NOT(M463=Datenblatt!$B$7)),"y",IF(AND(M462=Datenblatt!$B$7,M463=Datenblatt!$B$7,NOT(M461=Datenblatt!$B$7)),"a",IF(AND(M462=Datenblatt!$B$7,M461=Datenblatt!$B$7,NOT(M463=Datenblatt!$B$7)),"b","")))</f>
        <v/>
      </c>
      <c r="Q462" s="19" t="str">
        <f t="shared" si="220"/>
        <v/>
      </c>
      <c r="R462" s="124" t="str">
        <f>IF(I462="","",IF(AND(OR(J462="Krankenstand",J462="Urlaub",J462=""), AND(G462=0,NOT(I462=""))),Datenblatt!$B$7,""))</f>
        <v/>
      </c>
      <c r="S462" s="19" t="str">
        <f>IF(OR(J462="Krankenstand",J462="Urlaub"),"",IF(J462="","",VLOOKUP(D462,Dienste!C:W,21,)))</f>
        <v/>
      </c>
      <c r="T462" s="18" t="str">
        <f>IF(OR(J462="Krankenstand",J462="Urlaub"),"",IF(J462="","",VLOOKUP(D462,Dienste!C:W,5,)))</f>
        <v/>
      </c>
      <c r="U462" s="18" t="str">
        <f>IF(OR(J462="Krankenstand",J462="Urlaub"),"",IF(J462="","",VLOOKUP(D462,Dienste!C:W,6,)))</f>
        <v/>
      </c>
      <c r="V462" s="18" t="str">
        <f>IF(OR(J462="Krankenstand",J462="Urlaub"),"",IF(J462="","",VLOOKUP(D462,Dienste!C:W,7,)))</f>
        <v/>
      </c>
      <c r="W462" s="18" t="str">
        <f>IF(OR(J462="Krankenstand",J462="Urlaub"),"",IF(J462="","",VLOOKUP(D462,Dienste!C:W,11,)))</f>
        <v/>
      </c>
      <c r="X462" s="18" t="str">
        <f>IF(OR(J462="Krankenstand",J462="Urlaub"),"",IF(J462="","",VLOOKUP(D462,Dienste!C:W,12,)))</f>
        <v/>
      </c>
      <c r="Y462" s="19" t="str">
        <f>IF(OR(J462="Krankenstand",J462="Urlaub"),"",IF(J462="","",VLOOKUP(D462,Dienste!C:W,14,)))</f>
        <v/>
      </c>
      <c r="Z462" s="20" t="str">
        <f>IF(OR(J462="Krankenstand",J462="Urlaub"),"",IF(J462="","",VLOOKUP(D462,Dienste!C:W,15,)))</f>
        <v/>
      </c>
      <c r="AA462" s="124" t="str">
        <f>IF(OR(Y462="",NOT(AB462="")),"",IF(AND(Y462&lt;AE463,AE463&gt;0),Y462,IF(AE463&gt;0,AE463,"")))</f>
        <v/>
      </c>
      <c r="AB462" s="19" t="str">
        <f t="shared" si="212"/>
        <v/>
      </c>
      <c r="AC462" s="126" t="str">
        <f>_xlfn.CONCAT(_xlfn.CONCAT(IF(I462="","",_xlfn.CONCAT("FT: ",I462,IF(J462="","","; "))),IF(B462&lt;Datenblatt!$B$9,"",IF(B462="","",IF(NOT(J462=""),SUBSTITUTE(SUBSTITUTE(SUBSTITUTE(J462," mR","")," oR","")," O",""),"")))),IF(AF462="","",_xlfn.CONCAT(CHAR(10),"; ",AF462)))</f>
        <v/>
      </c>
      <c r="AD462" s="124" t="str">
        <f t="shared" si="221"/>
        <v/>
      </c>
      <c r="AE462" s="19">
        <f t="shared" si="213"/>
        <v>0</v>
      </c>
      <c r="AF462" s="156"/>
    </row>
    <row r="463" spans="2:32" s="9" customFormat="1" ht="13">
      <c r="B463" s="28">
        <f>IF(B462="","",IF(DAY(B462+1)&lt;31,"",B462+1))</f>
        <v>44926</v>
      </c>
      <c r="C463" s="47">
        <f>SMALL(Daten!W:W,COUNTIF(Daten!W:W,"&lt;"&amp;Stundenaufzeichnung!B463+1))</f>
        <v>44578</v>
      </c>
      <c r="D463" s="47" t="str">
        <f t="shared" si="209"/>
        <v/>
      </c>
      <c r="E463" s="29">
        <f t="shared" si="210"/>
        <v>1</v>
      </c>
      <c r="F463" s="29">
        <f>IF(B463="","",MOD(E463+$F$3,7)+1)</f>
        <v>6</v>
      </c>
      <c r="G463" s="29">
        <f>IF(B463="","",VLOOKUP(E463,Datenblatt!$L$2:$N$8,3,FALSE))</f>
        <v>0</v>
      </c>
      <c r="H463" s="29" t="str">
        <f t="shared" si="216"/>
        <v/>
      </c>
      <c r="I463" s="123" t="str">
        <f>IFERROR(VLOOKUP(B463,Datenblatt!$E:$F,2,FALSE),"")</f>
        <v/>
      </c>
      <c r="J463" s="114"/>
      <c r="K463" s="30">
        <f>IF(B463&lt;Datenblatt!$B$9,"",IF(B463="","",IF(G463=0,Datenblatt!$B$7,"")))</f>
        <v>6.67</v>
      </c>
      <c r="L463" s="30" t="str">
        <f t="shared" si="217"/>
        <v/>
      </c>
      <c r="M463" s="30" t="str">
        <f t="shared" si="218"/>
        <v/>
      </c>
      <c r="N463" s="30" t="str">
        <f>IF(AND(L463=Datenblatt!$B$7,NOT(L462=Datenblatt!$B$7),NOT(L464=Datenblatt!$B$7)),"y",IF(AND(L463=Datenblatt!$B$7,L464=Datenblatt!$B$7,NOT(L462=Datenblatt!$B$7)),"a",IF(AND(L463=Datenblatt!$B$7,L462=Datenblatt!$B$7,NOT(L464=Datenblatt!$B$7)),"b","")))</f>
        <v/>
      </c>
      <c r="O463" s="30" t="str">
        <f t="shared" si="219"/>
        <v/>
      </c>
      <c r="P463" s="30" t="str">
        <f>IF(AND(M463=Datenblatt!$B$7,NOT(M462=Datenblatt!$B$7),NOT(M464=Datenblatt!$B$7)),"y",IF(AND(M463=Datenblatt!$B$7,M464=Datenblatt!$B$7,NOT(M462=Datenblatt!$B$7)),"a",IF(AND(M463=Datenblatt!$B$7,M462=Datenblatt!$B$7,NOT(M464=Datenblatt!$B$7)),"b","")))</f>
        <v/>
      </c>
      <c r="Q463" s="30" t="str">
        <f t="shared" si="220"/>
        <v/>
      </c>
      <c r="R463" s="30" t="str">
        <f>IF(I463="","",IF(AND(OR(J463="Krankenstand",J463="Urlaub",J463=""), AND(G463=0,NOT(I463=""))),Datenblatt!$B$7,""))</f>
        <v/>
      </c>
      <c r="S463" s="30" t="str">
        <f>IF(OR(J463="Krankenstand",J463="Urlaub"),"",IF(J463="","",VLOOKUP(D463,Dienste!C:W,21,)))</f>
        <v/>
      </c>
      <c r="T463" s="31" t="str">
        <f>IF(OR(J463="Krankenstand",J463="Urlaub"),"",IF(J463="","",VLOOKUP(D463,Dienste!C:W,5,)))</f>
        <v/>
      </c>
      <c r="U463" s="31" t="str">
        <f>IF(OR(J463="Krankenstand",J463="Urlaub"),"",IF(J463="","",VLOOKUP(D463,Dienste!C:W,6,)))</f>
        <v/>
      </c>
      <c r="V463" s="31" t="str">
        <f>IF(OR(J463="Krankenstand",J463="Urlaub"),"",IF(J463="","",VLOOKUP(D463,Dienste!C:W,7,)))</f>
        <v/>
      </c>
      <c r="W463" s="31" t="str">
        <f>IF(OR(J463="Krankenstand",J463="Urlaub"),"",IF(J463="","",VLOOKUP(D463,Dienste!C:W,11,)))</f>
        <v/>
      </c>
      <c r="X463" s="31" t="str">
        <f>IF(OR(J463="Krankenstand",J463="Urlaub"),"",IF(J463="","",VLOOKUP(D463,Dienste!C:W,12,)))</f>
        <v/>
      </c>
      <c r="Y463" s="30" t="str">
        <f>IF(OR(J463="Krankenstand",J463="Urlaub"),"",IF(J463="","",VLOOKUP(D463,Dienste!C:W,14,)))</f>
        <v/>
      </c>
      <c r="Z463" s="32" t="str">
        <f>IF(OR(J463="Krankenstand",J463="Urlaub"),"",IF(J463="","",VLOOKUP(D463,Dienste!C:W,15,)))</f>
        <v/>
      </c>
      <c r="AA463" s="30" t="str">
        <f>IF(OR(Y463="",NOT(AB463="")),"",IF(AND(Y463&lt;AE464,AE464&gt;0),Y463,IF(AE464&gt;0,AE464,"")))</f>
        <v/>
      </c>
      <c r="AB463" s="30" t="str">
        <f t="shared" si="212"/>
        <v/>
      </c>
      <c r="AC463" s="125" t="str">
        <f>_xlfn.CONCAT(_xlfn.CONCAT(IF(I463="","",_xlfn.CONCAT("FT: ",I463,IF(J463="","","; "))),IF(B463&lt;Datenblatt!$B$9,"",IF(B463="","",IF(NOT(J463=""),SUBSTITUTE(SUBSTITUTE(SUBSTITUTE(J463," mR","")," oR","")," O",""),"")))),IF(AF463="","",_xlfn.CONCAT(CHAR(10),"; ",AF463)))</f>
        <v/>
      </c>
      <c r="AD463" s="30" t="str">
        <f t="shared" si="221"/>
        <v/>
      </c>
      <c r="AE463" s="30">
        <f>IF(OR(Y463="",NOT(AB463="")),AE464,AE464-Y463)</f>
        <v>0</v>
      </c>
      <c r="AF463" s="157"/>
    </row>
    <row r="464" spans="2:32" s="8" customFormat="1" ht="13">
      <c r="AA464" s="19">
        <f>IF(AD465-AB465-K465&lt;0,0,AD465-AB465-K465)</f>
        <v>0</v>
      </c>
      <c r="AC464" s="17" t="s">
        <v>193</v>
      </c>
      <c r="AE464" s="19">
        <f>AA464</f>
        <v>0</v>
      </c>
      <c r="AF464" s="17"/>
    </row>
    <row r="465" spans="1:32" s="8" customFormat="1" ht="13">
      <c r="B465" s="25" t="str">
        <f>"Summen "&amp;TEXT(B433,"MMMM")</f>
        <v>Summen Dezember</v>
      </c>
      <c r="C465" s="25"/>
      <c r="D465" s="25"/>
      <c r="E465" s="17"/>
      <c r="F465" s="17"/>
      <c r="G465" s="17"/>
      <c r="H465" s="17"/>
      <c r="I465" s="17"/>
      <c r="J465" s="17"/>
      <c r="K465" s="19">
        <f>SUM(K433:K463)</f>
        <v>180.08999999999992</v>
      </c>
      <c r="L465" s="19">
        <f t="shared" ref="L465:M465" si="222">SUM(L433:L463)</f>
        <v>0</v>
      </c>
      <c r="M465" s="19">
        <f t="shared" si="222"/>
        <v>0</v>
      </c>
      <c r="N465" s="19"/>
      <c r="O465" s="19" t="str">
        <f>IF(_xlfn.CONCAT(O433:O463)="","",REPLACE(_xlfn.CONCAT(O433:O463),LEN(_xlfn.CONCAT(O433:O463))-1,1,""))</f>
        <v/>
      </c>
      <c r="P465" s="19"/>
      <c r="Q465" s="19" t="str">
        <f t="shared" ref="Q465" si="223">IF(_xlfn.CONCAT(Q433:Q463)="","",REPLACE(_xlfn.CONCAT(Q433:Q463),LEN(_xlfn.CONCAT(Q433:Q463))-1,1,""))</f>
        <v/>
      </c>
      <c r="R465" s="19">
        <f t="shared" ref="R465:S465" si="224">SUM(R433:R463)</f>
        <v>13.34</v>
      </c>
      <c r="S465" s="19">
        <f t="shared" si="224"/>
        <v>0</v>
      </c>
      <c r="T465" s="19"/>
      <c r="U465" s="19"/>
      <c r="V465" s="19"/>
      <c r="W465" s="19"/>
      <c r="X465" s="17"/>
      <c r="Y465" s="19">
        <f>SUM(Y433:Y463)</f>
        <v>0</v>
      </c>
      <c r="Z465" s="20">
        <f>SUM(Z433:Z463)</f>
        <v>0</v>
      </c>
      <c r="AA465" s="26">
        <f>IF(AA464&gt;10,10,AA464)</f>
        <v>0</v>
      </c>
      <c r="AB465" s="19">
        <f t="shared" ref="AB465" si="225">SUM(AB433:AB463)</f>
        <v>0</v>
      </c>
      <c r="AC465" s="20">
        <f>R466</f>
        <v>2</v>
      </c>
      <c r="AD465" s="19">
        <f>SUM(AD433:AD463)</f>
        <v>13.34</v>
      </c>
      <c r="AE465" s="19"/>
      <c r="AF465" s="20"/>
    </row>
    <row r="466" spans="1:32" s="8" customFormat="1" ht="13">
      <c r="B466" s="25" t="str">
        <f>"Anzahl "&amp;TEXT(B433,"MMMM")</f>
        <v>Anzahl Dezember</v>
      </c>
      <c r="C466" s="25"/>
      <c r="D466" s="25"/>
      <c r="E466" s="17"/>
      <c r="F466" s="17"/>
      <c r="G466" s="17"/>
      <c r="H466" s="17"/>
      <c r="I466" s="17"/>
      <c r="J466" s="17"/>
      <c r="K466" s="17">
        <f>COUNT(K433:K463)</f>
        <v>27</v>
      </c>
      <c r="L466" s="17">
        <f t="shared" ref="L466:M466" si="226">COUNT(L433:L463)</f>
        <v>0</v>
      </c>
      <c r="M466" s="17">
        <f t="shared" si="226"/>
        <v>0</v>
      </c>
      <c r="N466" s="17"/>
      <c r="O466" s="17"/>
      <c r="P466" s="17"/>
      <c r="Q466" s="17"/>
      <c r="R466" s="17">
        <f t="shared" ref="R466:S466" si="227">COUNT(R433:R463)</f>
        <v>2</v>
      </c>
      <c r="S466" s="17">
        <f t="shared" si="227"/>
        <v>0</v>
      </c>
      <c r="T466" s="17"/>
      <c r="U466" s="17"/>
      <c r="V466" s="17"/>
      <c r="W466" s="17"/>
      <c r="X466" s="17"/>
      <c r="Y466" s="17"/>
      <c r="Z466" s="17"/>
      <c r="AA466" s="27">
        <f>IF(AA464&gt;10,AA464-10,0)</f>
        <v>0</v>
      </c>
      <c r="AB466" s="17"/>
      <c r="AC466" s="17"/>
      <c r="AD466" s="17"/>
      <c r="AE466" s="17"/>
      <c r="AF466" s="17"/>
    </row>
    <row r="467" spans="1:32" s="8" customFormat="1" ht="13.5" thickBot="1">
      <c r="A467" s="10"/>
      <c r="B467" s="10"/>
      <c r="C467" s="10"/>
      <c r="D467" s="10"/>
      <c r="E467" s="10"/>
      <c r="F467" s="10"/>
      <c r="G467" s="10"/>
      <c r="H467" s="10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0"/>
      <c r="AB467" s="10"/>
      <c r="AC467" s="10"/>
      <c r="AD467" s="34"/>
      <c r="AE467" s="34"/>
      <c r="AF467" s="10"/>
    </row>
  </sheetData>
  <mergeCells count="108">
    <mergeCell ref="Z431:Z432"/>
    <mergeCell ref="AA431:AB431"/>
    <mergeCell ref="T431:U431"/>
    <mergeCell ref="V431:V432"/>
    <mergeCell ref="W431:W432"/>
    <mergeCell ref="X431:X432"/>
    <mergeCell ref="Y431:Y432"/>
    <mergeCell ref="X392:X393"/>
    <mergeCell ref="Y392:Y393"/>
    <mergeCell ref="Z392:Z393"/>
    <mergeCell ref="AA392:AB392"/>
    <mergeCell ref="I430:S430"/>
    <mergeCell ref="T430:W430"/>
    <mergeCell ref="I391:S391"/>
    <mergeCell ref="T391:W391"/>
    <mergeCell ref="T392:U392"/>
    <mergeCell ref="V392:V393"/>
    <mergeCell ref="W392:W393"/>
    <mergeCell ref="Z314:Z315"/>
    <mergeCell ref="AA314:AB314"/>
    <mergeCell ref="I352:S352"/>
    <mergeCell ref="T352:W352"/>
    <mergeCell ref="T353:U353"/>
    <mergeCell ref="V353:V354"/>
    <mergeCell ref="W353:W354"/>
    <mergeCell ref="X353:X354"/>
    <mergeCell ref="Y353:Y354"/>
    <mergeCell ref="Z353:Z354"/>
    <mergeCell ref="AA353:AB353"/>
    <mergeCell ref="T314:U314"/>
    <mergeCell ref="V314:V315"/>
    <mergeCell ref="W314:W315"/>
    <mergeCell ref="X314:X315"/>
    <mergeCell ref="Y314:Y315"/>
    <mergeCell ref="X275:X276"/>
    <mergeCell ref="Y275:Y276"/>
    <mergeCell ref="Z275:Z276"/>
    <mergeCell ref="AA275:AB275"/>
    <mergeCell ref="I313:S313"/>
    <mergeCell ref="T313:W313"/>
    <mergeCell ref="I274:S274"/>
    <mergeCell ref="T274:W274"/>
    <mergeCell ref="T275:U275"/>
    <mergeCell ref="V275:V276"/>
    <mergeCell ref="W275:W276"/>
    <mergeCell ref="Z197:Z198"/>
    <mergeCell ref="AA197:AB197"/>
    <mergeCell ref="I235:S235"/>
    <mergeCell ref="T235:W235"/>
    <mergeCell ref="T236:U236"/>
    <mergeCell ref="V236:V237"/>
    <mergeCell ref="W236:W237"/>
    <mergeCell ref="X236:X237"/>
    <mergeCell ref="Y236:Y237"/>
    <mergeCell ref="Z236:Z237"/>
    <mergeCell ref="AA236:AB236"/>
    <mergeCell ref="T197:U197"/>
    <mergeCell ref="V197:V198"/>
    <mergeCell ref="W197:W198"/>
    <mergeCell ref="X197:X198"/>
    <mergeCell ref="Y197:Y198"/>
    <mergeCell ref="X158:X159"/>
    <mergeCell ref="Y158:Y159"/>
    <mergeCell ref="Z158:Z159"/>
    <mergeCell ref="AA158:AB158"/>
    <mergeCell ref="I196:S196"/>
    <mergeCell ref="T196:W196"/>
    <mergeCell ref="I157:S157"/>
    <mergeCell ref="T157:W157"/>
    <mergeCell ref="T158:U158"/>
    <mergeCell ref="V158:V159"/>
    <mergeCell ref="W158:W159"/>
    <mergeCell ref="Z80:Z81"/>
    <mergeCell ref="AA80:AB80"/>
    <mergeCell ref="I118:S118"/>
    <mergeCell ref="T118:W118"/>
    <mergeCell ref="T119:U119"/>
    <mergeCell ref="V119:V120"/>
    <mergeCell ref="W119:W120"/>
    <mergeCell ref="X119:X120"/>
    <mergeCell ref="Y119:Y120"/>
    <mergeCell ref="Z119:Z120"/>
    <mergeCell ref="AA119:AB119"/>
    <mergeCell ref="T80:U80"/>
    <mergeCell ref="V80:V81"/>
    <mergeCell ref="W80:W81"/>
    <mergeCell ref="X80:X81"/>
    <mergeCell ref="Y80:Y81"/>
    <mergeCell ref="X41:X42"/>
    <mergeCell ref="Y41:Y42"/>
    <mergeCell ref="Z41:Z42"/>
    <mergeCell ref="AA41:AB41"/>
    <mergeCell ref="I79:S79"/>
    <mergeCell ref="T79:W79"/>
    <mergeCell ref="I40:S40"/>
    <mergeCell ref="T40:W40"/>
    <mergeCell ref="T41:U41"/>
    <mergeCell ref="V41:V42"/>
    <mergeCell ref="W41:W42"/>
    <mergeCell ref="I1:S1"/>
    <mergeCell ref="T1:W1"/>
    <mergeCell ref="Y2:Y3"/>
    <mergeCell ref="AA2:AB2"/>
    <mergeCell ref="Z2:Z3"/>
    <mergeCell ref="T2:U2"/>
    <mergeCell ref="V2:V3"/>
    <mergeCell ref="W2:W3"/>
    <mergeCell ref="X2:X3"/>
  </mergeCells>
  <phoneticPr fontId="2" type="noConversion"/>
  <conditionalFormatting sqref="G5:G35 AC4:AD34 B4:Z34">
    <cfRule type="expression" dxfId="59" priority="263">
      <formula>$H4="x"</formula>
    </cfRule>
  </conditionalFormatting>
  <conditionalFormatting sqref="AB4:AB34">
    <cfRule type="expression" dxfId="58" priority="168">
      <formula>$H4="x"</formula>
    </cfRule>
  </conditionalFormatting>
  <conditionalFormatting sqref="AA4:AA34">
    <cfRule type="expression" dxfId="57" priority="167">
      <formula>$H4="x"</formula>
    </cfRule>
  </conditionalFormatting>
  <conditionalFormatting sqref="AE4:AE34">
    <cfRule type="expression" dxfId="56" priority="166">
      <formula>$H4="x"</formula>
    </cfRule>
  </conditionalFormatting>
  <conditionalFormatting sqref="AF4:AF34">
    <cfRule type="expression" dxfId="55" priority="121">
      <formula>$H4="x"</formula>
    </cfRule>
  </conditionalFormatting>
  <conditionalFormatting sqref="AC43:AD73 G43:G74 B43:F73 H43:Z73">
    <cfRule type="expression" dxfId="54" priority="65">
      <formula>$H43="x"</formula>
    </cfRule>
  </conditionalFormatting>
  <conditionalFormatting sqref="AB43:AB73">
    <cfRule type="expression" dxfId="53" priority="64">
      <formula>$H43="x"</formula>
    </cfRule>
  </conditionalFormatting>
  <conditionalFormatting sqref="AA43:AA73">
    <cfRule type="expression" dxfId="52" priority="63">
      <formula>$H43="x"</formula>
    </cfRule>
  </conditionalFormatting>
  <conditionalFormatting sqref="AE43:AE73">
    <cfRule type="expression" dxfId="51" priority="62">
      <formula>$H43="x"</formula>
    </cfRule>
  </conditionalFormatting>
  <conditionalFormatting sqref="AF43:AF73">
    <cfRule type="expression" dxfId="50" priority="61">
      <formula>$H43="x"</formula>
    </cfRule>
  </conditionalFormatting>
  <conditionalFormatting sqref="AC82:AD112 G82:G113 B82:F112 H82:Z112">
    <cfRule type="expression" dxfId="49" priority="50">
      <formula>$H82="x"</formula>
    </cfRule>
  </conditionalFormatting>
  <conditionalFormatting sqref="AB82:AB112">
    <cfRule type="expression" dxfId="48" priority="49">
      <formula>$H82="x"</formula>
    </cfRule>
  </conditionalFormatting>
  <conditionalFormatting sqref="AA82:AA112">
    <cfRule type="expression" dxfId="47" priority="48">
      <formula>$H82="x"</formula>
    </cfRule>
  </conditionalFormatting>
  <conditionalFormatting sqref="AE82:AE112">
    <cfRule type="expression" dxfId="46" priority="47">
      <formula>$H82="x"</formula>
    </cfRule>
  </conditionalFormatting>
  <conditionalFormatting sqref="AF82:AF112">
    <cfRule type="expression" dxfId="45" priority="46">
      <formula>$H82="x"</formula>
    </cfRule>
  </conditionalFormatting>
  <conditionalFormatting sqref="AC121:AD151 G121:G152 B121:F151 H121:Z151">
    <cfRule type="expression" dxfId="44" priority="45">
      <formula>$H121="x"</formula>
    </cfRule>
  </conditionalFormatting>
  <conditionalFormatting sqref="AB121:AB151">
    <cfRule type="expression" dxfId="43" priority="44">
      <formula>$H121="x"</formula>
    </cfRule>
  </conditionalFormatting>
  <conditionalFormatting sqref="AA121:AA151">
    <cfRule type="expression" dxfId="42" priority="43">
      <formula>$H121="x"</formula>
    </cfRule>
  </conditionalFormatting>
  <conditionalFormatting sqref="AE121:AE151">
    <cfRule type="expression" dxfId="41" priority="42">
      <formula>$H121="x"</formula>
    </cfRule>
  </conditionalFormatting>
  <conditionalFormatting sqref="AF121:AF151">
    <cfRule type="expression" dxfId="40" priority="41">
      <formula>$H121="x"</formula>
    </cfRule>
  </conditionalFormatting>
  <conditionalFormatting sqref="AC160:AD190 G160:G191 B160:F190 H160:Z190">
    <cfRule type="expression" dxfId="39" priority="40">
      <formula>$H160="x"</formula>
    </cfRule>
  </conditionalFormatting>
  <conditionalFormatting sqref="AB160:AB190">
    <cfRule type="expression" dxfId="38" priority="39">
      <formula>$H160="x"</formula>
    </cfRule>
  </conditionalFormatting>
  <conditionalFormatting sqref="AA160:AA190">
    <cfRule type="expression" dxfId="37" priority="38">
      <formula>$H160="x"</formula>
    </cfRule>
  </conditionalFormatting>
  <conditionalFormatting sqref="AE160:AE190">
    <cfRule type="expression" dxfId="36" priority="37">
      <formula>$H160="x"</formula>
    </cfRule>
  </conditionalFormatting>
  <conditionalFormatting sqref="AF160:AF190">
    <cfRule type="expression" dxfId="35" priority="36">
      <formula>$H160="x"</formula>
    </cfRule>
  </conditionalFormatting>
  <conditionalFormatting sqref="AC199:AD229 G199:G230 B199:F229 H199:Z229">
    <cfRule type="expression" dxfId="34" priority="35">
      <formula>$H199="x"</formula>
    </cfRule>
  </conditionalFormatting>
  <conditionalFormatting sqref="AB199:AB229">
    <cfRule type="expression" dxfId="33" priority="34">
      <formula>$H199="x"</formula>
    </cfRule>
  </conditionalFormatting>
  <conditionalFormatting sqref="AA199:AA229">
    <cfRule type="expression" dxfId="32" priority="33">
      <formula>$H199="x"</formula>
    </cfRule>
  </conditionalFormatting>
  <conditionalFormatting sqref="AE199:AE229">
    <cfRule type="expression" dxfId="31" priority="32">
      <formula>$H199="x"</formula>
    </cfRule>
  </conditionalFormatting>
  <conditionalFormatting sqref="AF199:AF229">
    <cfRule type="expression" dxfId="30" priority="31">
      <formula>$H199="x"</formula>
    </cfRule>
  </conditionalFormatting>
  <conditionalFormatting sqref="AC238:AD268 G238:G269 B238:F268 H238:Z268">
    <cfRule type="expression" dxfId="29" priority="30">
      <formula>$H238="x"</formula>
    </cfRule>
  </conditionalFormatting>
  <conditionalFormatting sqref="AB238:AB268">
    <cfRule type="expression" dxfId="28" priority="29">
      <formula>$H238="x"</formula>
    </cfRule>
  </conditionalFormatting>
  <conditionalFormatting sqref="AA238:AA268">
    <cfRule type="expression" dxfId="27" priority="28">
      <formula>$H238="x"</formula>
    </cfRule>
  </conditionalFormatting>
  <conditionalFormatting sqref="AE238:AE268">
    <cfRule type="expression" dxfId="26" priority="27">
      <formula>$H238="x"</formula>
    </cfRule>
  </conditionalFormatting>
  <conditionalFormatting sqref="AF238:AF268">
    <cfRule type="expression" dxfId="25" priority="26">
      <formula>$H238="x"</formula>
    </cfRule>
  </conditionalFormatting>
  <conditionalFormatting sqref="AC277:AD307 G277:G308 B277:F307 H277:Z307">
    <cfRule type="expression" dxfId="24" priority="25">
      <formula>$H277="x"</formula>
    </cfRule>
  </conditionalFormatting>
  <conditionalFormatting sqref="AB277:AB307">
    <cfRule type="expression" dxfId="23" priority="24">
      <formula>$H277="x"</formula>
    </cfRule>
  </conditionalFormatting>
  <conditionalFormatting sqref="AA277:AA307">
    <cfRule type="expression" dxfId="22" priority="23">
      <formula>$H277="x"</formula>
    </cfRule>
  </conditionalFormatting>
  <conditionalFormatting sqref="AE277:AE307">
    <cfRule type="expression" dxfId="21" priority="22">
      <formula>$H277="x"</formula>
    </cfRule>
  </conditionalFormatting>
  <conditionalFormatting sqref="AF277:AF307">
    <cfRule type="expression" dxfId="20" priority="21">
      <formula>$H277="x"</formula>
    </cfRule>
  </conditionalFormatting>
  <conditionalFormatting sqref="AC316:AD346 G316:G347 B316:F346 H316:Z346">
    <cfRule type="expression" dxfId="19" priority="20">
      <formula>$H316="x"</formula>
    </cfRule>
  </conditionalFormatting>
  <conditionalFormatting sqref="AB316:AB346">
    <cfRule type="expression" dxfId="18" priority="19">
      <formula>$H316="x"</formula>
    </cfRule>
  </conditionalFormatting>
  <conditionalFormatting sqref="AA316:AA346">
    <cfRule type="expression" dxfId="17" priority="18">
      <formula>$H316="x"</formula>
    </cfRule>
  </conditionalFormatting>
  <conditionalFormatting sqref="AE316:AE346">
    <cfRule type="expression" dxfId="16" priority="17">
      <formula>$H316="x"</formula>
    </cfRule>
  </conditionalFormatting>
  <conditionalFormatting sqref="AF316:AF346">
    <cfRule type="expression" dxfId="15" priority="16">
      <formula>$H316="x"</formula>
    </cfRule>
  </conditionalFormatting>
  <conditionalFormatting sqref="AC355:AD385 G355:G386 B355:F385 H355:Z385">
    <cfRule type="expression" dxfId="14" priority="15">
      <formula>$H355="x"</formula>
    </cfRule>
  </conditionalFormatting>
  <conditionalFormatting sqref="AB355:AB385">
    <cfRule type="expression" dxfId="13" priority="14">
      <formula>$H355="x"</formula>
    </cfRule>
  </conditionalFormatting>
  <conditionalFormatting sqref="AA355:AA385">
    <cfRule type="expression" dxfId="12" priority="13">
      <formula>$H355="x"</formula>
    </cfRule>
  </conditionalFormatting>
  <conditionalFormatting sqref="AE355:AE385">
    <cfRule type="expression" dxfId="11" priority="12">
      <formula>$H355="x"</formula>
    </cfRule>
  </conditionalFormatting>
  <conditionalFormatting sqref="AF355:AF385">
    <cfRule type="expression" dxfId="10" priority="11">
      <formula>$H355="x"</formula>
    </cfRule>
  </conditionalFormatting>
  <conditionalFormatting sqref="AC394:AD424 G394:G425 B394:F424 H394:Z424">
    <cfRule type="expression" dxfId="9" priority="10">
      <formula>$H394="x"</formula>
    </cfRule>
  </conditionalFormatting>
  <conditionalFormatting sqref="AB394:AB424">
    <cfRule type="expression" dxfId="8" priority="9">
      <formula>$H394="x"</formula>
    </cfRule>
  </conditionalFormatting>
  <conditionalFormatting sqref="AA394:AA424">
    <cfRule type="expression" dxfId="7" priority="8">
      <formula>$H394="x"</formula>
    </cfRule>
  </conditionalFormatting>
  <conditionalFormatting sqref="AE394:AE424">
    <cfRule type="expression" dxfId="6" priority="7">
      <formula>$H394="x"</formula>
    </cfRule>
  </conditionalFormatting>
  <conditionalFormatting sqref="AF394:AF424">
    <cfRule type="expression" dxfId="5" priority="6">
      <formula>$H394="x"</formula>
    </cfRule>
  </conditionalFormatting>
  <conditionalFormatting sqref="AC433:AD463 G433:G464 B433:F463 H433:Z463">
    <cfRule type="expression" dxfId="4" priority="5">
      <formula>$H433="x"</formula>
    </cfRule>
  </conditionalFormatting>
  <conditionalFormatting sqref="AB433:AB463">
    <cfRule type="expression" dxfId="3" priority="4">
      <formula>$H433="x"</formula>
    </cfRule>
  </conditionalFormatting>
  <conditionalFormatting sqref="AA433:AA463">
    <cfRule type="expression" dxfId="2" priority="3">
      <formula>$H433="x"</formula>
    </cfRule>
  </conditionalFormatting>
  <conditionalFormatting sqref="AE433:AE463">
    <cfRule type="expression" dxfId="1" priority="2">
      <formula>$H433="x"</formula>
    </cfRule>
  </conditionalFormatting>
  <conditionalFormatting sqref="AF433:AF463">
    <cfRule type="expression" dxfId="0" priority="1">
      <formula>$H433="x"</formula>
    </cfRule>
  </conditionalFormatting>
  <pageMargins left="0.39370078740157483" right="0.51181102362204722" top="0.39370078740157483" bottom="0.39370078740157483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Dienst nicht gefunden!" error="Bitte wähle einen gültigen Dienst._x000a_Ist der Dienst nicht vorhanden, ergänze diesen zuerst in der Tabelle &quot;Dienste&quot;!" xr:uid="{16BDE8F9-B98B-4A8E-A5E3-4B930AAF41EE}">
          <x14:formula1>
            <xm:f>Daten!$J:$J</xm:f>
          </x14:formula1>
          <xm:sqref>J355:J385 J394:J424 J4:J34 J43:J73 J82:J112 J121:J151 J160:J190 J199:J229 J238:J268 J277:J307 J316:J346 J433:J463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E2CC-7E61-416C-A74A-EE07E9EBE015}">
  <dimension ref="A1:S202"/>
  <sheetViews>
    <sheetView showZeros="0" workbookViewId="0">
      <selection activeCell="G37" sqref="G37"/>
    </sheetView>
  </sheetViews>
  <sheetFormatPr defaultColWidth="10.90625" defaultRowHeight="14.5"/>
  <cols>
    <col min="1" max="1" width="21.1796875" customWidth="1"/>
    <col min="4" max="4" width="11.453125" style="5"/>
    <col min="5" max="5" width="11.7265625" style="5" bestFit="1" customWidth="1"/>
    <col min="6" max="6" width="11.08984375" style="5" bestFit="1" customWidth="1"/>
    <col min="7" max="7" width="15.54296875" bestFit="1" customWidth="1"/>
    <col min="8" max="8" width="12.7265625" style="5" customWidth="1"/>
    <col min="13" max="13" width="3" style="5" customWidth="1"/>
    <col min="14" max="14" width="3.7265625" style="5" hidden="1" customWidth="1"/>
    <col min="15" max="15" width="16.1796875" bestFit="1" customWidth="1"/>
    <col min="17" max="17" width="11.1796875" bestFit="1" customWidth="1"/>
    <col min="18" max="18" width="17.6328125" bestFit="1" customWidth="1"/>
  </cols>
  <sheetData>
    <row r="1" spans="1:19" ht="18.5">
      <c r="A1" s="218" t="str">
        <f>"Auszahlungsübersicht "&amp;TEXT(DATE(Datenblatt!B3,1,1),"JJJJ")</f>
        <v>Auszahlungsübersicht 2022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</row>
    <row r="2" spans="1:19" s="5" customFormat="1" ht="18.5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</row>
    <row r="3" spans="1:19" s="5" customFormat="1">
      <c r="B3" s="225" t="s">
        <v>190</v>
      </c>
      <c r="C3" s="225"/>
      <c r="D3" s="122">
        <f>Datenblatt!B17</f>
        <v>0</v>
      </c>
      <c r="E3" s="225" t="s">
        <v>169</v>
      </c>
      <c r="F3" s="225"/>
      <c r="G3" s="127">
        <f>AVERAGEIF(Q9:Q20,"&gt;0",Q9:Q20)</f>
        <v>13.569999999999995</v>
      </c>
      <c r="H3" s="225" t="s">
        <v>203</v>
      </c>
      <c r="I3" s="225"/>
      <c r="J3" s="86">
        <f>AVERAGEIF(R9:R20,"&gt;0",R9:R20)</f>
        <v>16.300000000000004</v>
      </c>
      <c r="K3" s="225" t="s">
        <v>187</v>
      </c>
      <c r="L3" s="225"/>
      <c r="M3" s="100">
        <v>5</v>
      </c>
      <c r="R3" s="3"/>
    </row>
    <row r="4" spans="1:19" s="5" customFormat="1">
      <c r="B4" s="225" t="s">
        <v>140</v>
      </c>
      <c r="C4" s="225"/>
      <c r="D4" s="122">
        <f>IF(YEAR(Datenblatt!B9)=Datenblatt!B3,Datenblatt!B14,Datenblatt!B13)+D3</f>
        <v>30</v>
      </c>
      <c r="E4" s="225" t="s">
        <v>202</v>
      </c>
      <c r="F4" s="225"/>
      <c r="G4" s="159">
        <f>AVERAGEIF(S9:S20,"&gt;0",S9:S20)</f>
        <v>1.67</v>
      </c>
      <c r="H4" s="225" t="s">
        <v>204</v>
      </c>
      <c r="I4" s="225"/>
      <c r="J4" s="86">
        <f>AVERAGEIF(R9:R20,"&gt;0",R9:R20)</f>
        <v>16.300000000000004</v>
      </c>
      <c r="K4" s="225" t="s">
        <v>188</v>
      </c>
      <c r="L4" s="225"/>
      <c r="M4" s="100">
        <v>10</v>
      </c>
      <c r="R4" s="3"/>
    </row>
    <row r="5" spans="1:19" s="5" customFormat="1">
      <c r="B5" s="225" t="s">
        <v>141</v>
      </c>
      <c r="C5" s="225"/>
      <c r="D5" s="122">
        <f>SUM(J9:J20)</f>
        <v>0</v>
      </c>
      <c r="E5" s="225" t="s">
        <v>170</v>
      </c>
      <c r="F5" s="225"/>
      <c r="G5" s="4">
        <f>Datenblatt!B7</f>
        <v>6.67</v>
      </c>
      <c r="H5" s="225"/>
      <c r="I5" s="225"/>
      <c r="R5" s="3"/>
    </row>
    <row r="6" spans="1:19" s="5" customFormat="1">
      <c r="B6" s="225" t="s">
        <v>142</v>
      </c>
      <c r="C6" s="225"/>
      <c r="D6" s="122">
        <f>D4-D5</f>
        <v>30</v>
      </c>
      <c r="H6" s="225" t="s">
        <v>205</v>
      </c>
      <c r="I6" s="225"/>
      <c r="J6" s="5">
        <f>SUM(I9:I20)</f>
        <v>0</v>
      </c>
      <c r="R6" s="3"/>
    </row>
    <row r="7" spans="1:19">
      <c r="R7" s="3"/>
    </row>
    <row r="8" spans="1:19">
      <c r="A8" s="35"/>
      <c r="B8" s="41" t="s">
        <v>138</v>
      </c>
      <c r="C8" s="36" t="s">
        <v>132</v>
      </c>
      <c r="D8" s="36" t="s">
        <v>133</v>
      </c>
      <c r="E8" s="36" t="s">
        <v>166</v>
      </c>
      <c r="F8" s="36" t="s">
        <v>167</v>
      </c>
      <c r="G8" s="36" t="s">
        <v>134</v>
      </c>
      <c r="H8" s="36" t="s">
        <v>168</v>
      </c>
      <c r="I8" s="36" t="s">
        <v>135</v>
      </c>
      <c r="J8" s="36" t="s">
        <v>136</v>
      </c>
      <c r="K8" s="36" t="s">
        <v>139</v>
      </c>
      <c r="L8" s="42" t="s">
        <v>7</v>
      </c>
      <c r="M8" s="36"/>
      <c r="N8" s="36"/>
      <c r="O8" s="36" t="s">
        <v>185</v>
      </c>
      <c r="Q8" s="36" t="s">
        <v>199</v>
      </c>
      <c r="R8" s="36" t="s">
        <v>200</v>
      </c>
      <c r="S8" s="36" t="s">
        <v>201</v>
      </c>
    </row>
    <row r="9" spans="1:19">
      <c r="A9" s="38" t="str">
        <f>Daten!P2</f>
        <v>Jänner</v>
      </c>
      <c r="B9" s="98">
        <f>IFERROR(VLOOKUP("Summen "&amp;A9,Stundenaufzeichnung!$B:$AD,10,FALSE),"")</f>
        <v>173.41999999999993</v>
      </c>
      <c r="C9" s="84">
        <f>IFERROR(VLOOKUP("Summen "&amp;A9,Stundenaufzeichnung!$B:$AD,29,FALSE),"")</f>
        <v>13.34</v>
      </c>
      <c r="D9" s="84">
        <f>IFERROR(VLOOKUP("Summen "&amp;A9,Stundenaufzeichnung!$B:$AD,26,FALSE)+VLOOKUP("Anzahl "&amp;A9,Stundenaufzeichnung!$B:$AD,26,FALSE),"")</f>
        <v>0</v>
      </c>
      <c r="E9" s="84">
        <f>IFERROR(VLOOKUP("Summen "&amp;A9,Stundenaufzeichnung!$B:$AD,26,FALSE),"")</f>
        <v>0</v>
      </c>
      <c r="F9" s="84">
        <f>IFERROR(+VLOOKUP("Anzahl "&amp;A9,Stundenaufzeichnung!$B:$AD,26,FALSE),"")</f>
        <v>0</v>
      </c>
      <c r="G9" s="84">
        <f>IFERROR(VLOOKUP("Summen "&amp;A9,Stundenaufzeichnung!$B:$AD,27,FALSE),"")</f>
        <v>0</v>
      </c>
      <c r="H9" s="84">
        <f>SUM(E9:G9)</f>
        <v>0</v>
      </c>
      <c r="I9" s="39">
        <f>IFERROR(VLOOKUP("Anzahl "&amp;A9,Stundenaufzeichnung!$B:$AD,11,FALSE),"")</f>
        <v>0</v>
      </c>
      <c r="J9" s="39">
        <f>IFERROR(VLOOKUP("Anzahl "&amp;A9,Stundenaufzeichnung!$B:$AD,12,FALSE),"")</f>
        <v>0</v>
      </c>
      <c r="K9" s="39">
        <f>IFERROR(VLOOKUP("Summen "&amp;A9,Stundenaufzeichnung!$B:$AD,28,FALSE),"")</f>
        <v>2</v>
      </c>
      <c r="L9" s="43">
        <f>IFERROR(VLOOKUP("Summen "&amp;A9,Stundenaufzeichnung!$B:$AD,25,FALSE),"")</f>
        <v>0</v>
      </c>
      <c r="M9" s="40"/>
      <c r="N9" s="40">
        <v>36</v>
      </c>
      <c r="O9" s="94" cm="1">
        <f t="array" aca="1" ref="O9" ca="1">INDIRECT("D"&amp;N9)</f>
        <v>181.02379999999999</v>
      </c>
      <c r="Q9" s="158">
        <v>13.57</v>
      </c>
      <c r="R9" s="158">
        <v>16.3</v>
      </c>
      <c r="S9" s="158">
        <v>1.67</v>
      </c>
    </row>
    <row r="10" spans="1:19">
      <c r="A10" s="87" t="str">
        <f>Daten!P3</f>
        <v>Februar</v>
      </c>
      <c r="B10" s="99">
        <f>IFERROR(VLOOKUP("Summen "&amp;A10,Stundenaufzeichnung!$B:$AD,10,FALSE),"")</f>
        <v>160.07999999999996</v>
      </c>
      <c r="C10" s="92">
        <f>IFERROR(VLOOKUP("Summen "&amp;A10,Stundenaufzeichnung!$B:$AD,29,FALSE),"")</f>
        <v>0</v>
      </c>
      <c r="D10" s="92">
        <f>IFERROR(VLOOKUP("Summen "&amp;A10,Stundenaufzeichnung!$B:$AD,26,FALSE)+VLOOKUP("Anzahl "&amp;A10,Stundenaufzeichnung!$B:$AD,26,FALSE),"")</f>
        <v>0</v>
      </c>
      <c r="E10" s="92">
        <f>IFERROR(VLOOKUP("Summen "&amp;A10,Stundenaufzeichnung!$B:$AD,26,FALSE),"")</f>
        <v>0</v>
      </c>
      <c r="F10" s="92">
        <f>IFERROR(+VLOOKUP("Anzahl "&amp;A10,Stundenaufzeichnung!$B:$AD,26,FALSE),"")</f>
        <v>0</v>
      </c>
      <c r="G10" s="92">
        <f>IFERROR(VLOOKUP("Summen "&amp;A10,Stundenaufzeichnung!$B:$AD,27,FALSE),"")</f>
        <v>0</v>
      </c>
      <c r="H10" s="92">
        <f t="shared" ref="H10:H20" si="0">SUM(E10:G10)</f>
        <v>0</v>
      </c>
      <c r="I10" s="91">
        <f>IFERROR(VLOOKUP("Anzahl "&amp;A10,Stundenaufzeichnung!$B:$AD,11,FALSE),"")</f>
        <v>0</v>
      </c>
      <c r="J10" s="91">
        <f>IFERROR(VLOOKUP("Anzahl "&amp;A10,Stundenaufzeichnung!$B:$AD,12,FALSE),"")</f>
        <v>0</v>
      </c>
      <c r="K10" s="91">
        <f>IFERROR(VLOOKUP("Summen "&amp;A10,Stundenaufzeichnung!$B:$AD,28,FALSE),"")</f>
        <v>0</v>
      </c>
      <c r="L10" s="93">
        <f>IFERROR(VLOOKUP("Summen "&amp;A10,Stundenaufzeichnung!$B:$AD,25,FALSE),"")</f>
        <v>0</v>
      </c>
      <c r="M10" s="37"/>
      <c r="N10" s="37">
        <f>N9+15</f>
        <v>51</v>
      </c>
      <c r="O10" s="95" cm="1">
        <f t="array" aca="1" ref="O10" ca="1">INDIRECT("D"&amp;N10)</f>
        <v>0</v>
      </c>
      <c r="Q10" s="158">
        <v>13.57</v>
      </c>
      <c r="R10" s="158">
        <v>16.3</v>
      </c>
      <c r="S10" s="158">
        <v>1.67</v>
      </c>
    </row>
    <row r="11" spans="1:19">
      <c r="A11" s="38" t="str">
        <f>Daten!P4</f>
        <v>März</v>
      </c>
      <c r="B11" s="98">
        <f>IFERROR(VLOOKUP("Summen "&amp;A11,Stundenaufzeichnung!$B:$AD,10,FALSE),"")</f>
        <v>180.08999999999992</v>
      </c>
      <c r="C11" s="84">
        <f>IFERROR(VLOOKUP("Summen "&amp;A11,Stundenaufzeichnung!$B:$AD,29,FALSE),"")</f>
        <v>0</v>
      </c>
      <c r="D11" s="84">
        <f>IFERROR(VLOOKUP("Summen "&amp;A11,Stundenaufzeichnung!$B:$AD,26,FALSE)+VLOOKUP("Anzahl "&amp;A11,Stundenaufzeichnung!$B:$AD,26,FALSE),"")</f>
        <v>0</v>
      </c>
      <c r="E11" s="84">
        <f>IFERROR(VLOOKUP("Summen "&amp;A11,Stundenaufzeichnung!$B:$AD,26,FALSE),"")</f>
        <v>0</v>
      </c>
      <c r="F11" s="84">
        <f>IFERROR(+VLOOKUP("Anzahl "&amp;A11,Stundenaufzeichnung!$B:$AD,26,FALSE),"")</f>
        <v>0</v>
      </c>
      <c r="G11" s="84">
        <f>IFERROR(VLOOKUP("Summen "&amp;A11,Stundenaufzeichnung!$B:$AD,27,FALSE),"")</f>
        <v>0</v>
      </c>
      <c r="H11" s="84">
        <f t="shared" si="0"/>
        <v>0</v>
      </c>
      <c r="I11" s="39">
        <f>IFERROR(VLOOKUP("Anzahl "&amp;A11,Stundenaufzeichnung!$B:$AD,11,FALSE),"")</f>
        <v>0</v>
      </c>
      <c r="J11" s="39">
        <f>IFERROR(VLOOKUP("Anzahl "&amp;A11,Stundenaufzeichnung!$B:$AD,12,FALSE),"")</f>
        <v>0</v>
      </c>
      <c r="K11" s="39">
        <f>IFERROR(VLOOKUP("Summen "&amp;A11,Stundenaufzeichnung!$B:$AD,28,FALSE),"")</f>
        <v>0</v>
      </c>
      <c r="L11" s="43">
        <f>IFERROR(VLOOKUP("Summen "&amp;A11,Stundenaufzeichnung!$B:$AD,25,FALSE),"")</f>
        <v>0</v>
      </c>
      <c r="M11" s="40"/>
      <c r="N11" s="40">
        <f t="shared" ref="N11:N20" si="1">N10+15</f>
        <v>66</v>
      </c>
      <c r="O11" s="96" cm="1">
        <f t="array" aca="1" ref="O11" ca="1">INDIRECT("D"&amp;N11)</f>
        <v>0</v>
      </c>
      <c r="Q11" s="158">
        <v>13.57</v>
      </c>
      <c r="R11" s="158">
        <v>16.3</v>
      </c>
      <c r="S11" s="158">
        <v>1.67</v>
      </c>
    </row>
    <row r="12" spans="1:19">
      <c r="A12" s="87" t="str">
        <f>Daten!P5</f>
        <v>April</v>
      </c>
      <c r="B12" s="99">
        <f>IFERROR(VLOOKUP("Summen "&amp;A12,Stundenaufzeichnung!$B:$AD,10,FALSE),"")</f>
        <v>173.41999999999993</v>
      </c>
      <c r="C12" s="92">
        <f>IFERROR(VLOOKUP("Summen "&amp;A12,Stundenaufzeichnung!$B:$AD,29,FALSE),"")</f>
        <v>6.67</v>
      </c>
      <c r="D12" s="92">
        <f>IFERROR(VLOOKUP("Summen "&amp;A12,Stundenaufzeichnung!$B:$AD,26,FALSE)+VLOOKUP("Anzahl "&amp;A12,Stundenaufzeichnung!$B:$AD,26,FALSE),"")</f>
        <v>0</v>
      </c>
      <c r="E12" s="92">
        <f>IFERROR(VLOOKUP("Summen "&amp;A12,Stundenaufzeichnung!$B:$AD,26,FALSE),"")</f>
        <v>0</v>
      </c>
      <c r="F12" s="92">
        <f>IFERROR(+VLOOKUP("Anzahl "&amp;A12,Stundenaufzeichnung!$B:$AD,26,FALSE),"")</f>
        <v>0</v>
      </c>
      <c r="G12" s="92">
        <f>IFERROR(VLOOKUP("Summen "&amp;A12,Stundenaufzeichnung!$B:$AD,27,FALSE),"")</f>
        <v>0</v>
      </c>
      <c r="H12" s="92">
        <f t="shared" si="0"/>
        <v>0</v>
      </c>
      <c r="I12" s="91">
        <f>IFERROR(VLOOKUP("Anzahl "&amp;A12,Stundenaufzeichnung!$B:$AD,11,FALSE),"")</f>
        <v>0</v>
      </c>
      <c r="J12" s="91">
        <f>IFERROR(VLOOKUP("Anzahl "&amp;A12,Stundenaufzeichnung!$B:$AD,12,FALSE),"")</f>
        <v>0</v>
      </c>
      <c r="K12" s="91">
        <f>IFERROR(VLOOKUP("Summen "&amp;A12,Stundenaufzeichnung!$B:$AD,28,FALSE),"")</f>
        <v>1</v>
      </c>
      <c r="L12" s="93">
        <f>IFERROR(VLOOKUP("Summen "&amp;A12,Stundenaufzeichnung!$B:$AD,25,FALSE),"")</f>
        <v>0</v>
      </c>
      <c r="M12" s="37"/>
      <c r="N12" s="37">
        <f t="shared" si="1"/>
        <v>81</v>
      </c>
      <c r="O12" s="95" cm="1">
        <f t="array" aca="1" ref="O12" ca="1">INDIRECT("D"&amp;N12)</f>
        <v>90.511899999999997</v>
      </c>
      <c r="Q12" s="158">
        <v>13.57</v>
      </c>
      <c r="R12" s="158">
        <v>16.3</v>
      </c>
      <c r="S12" s="158">
        <v>1.67</v>
      </c>
    </row>
    <row r="13" spans="1:19">
      <c r="A13" s="38" t="str">
        <f>Daten!P6</f>
        <v>Mai</v>
      </c>
      <c r="B13" s="98">
        <f>IFERROR(VLOOKUP("Summen "&amp;A13,Stundenaufzeichnung!$B:$AD,10,FALSE),"")</f>
        <v>173.41999999999993</v>
      </c>
      <c r="C13" s="84">
        <f>IFERROR(VLOOKUP("Summen "&amp;A13,Stundenaufzeichnung!$B:$AD,29,FALSE),"")</f>
        <v>6.67</v>
      </c>
      <c r="D13" s="84">
        <f>IFERROR(VLOOKUP("Summen "&amp;A13,Stundenaufzeichnung!$B:$AD,26,FALSE)+VLOOKUP("Anzahl "&amp;A13,Stundenaufzeichnung!$B:$AD,26,FALSE),"")</f>
        <v>0</v>
      </c>
      <c r="E13" s="84">
        <f>IFERROR(VLOOKUP("Summen "&amp;A13,Stundenaufzeichnung!$B:$AD,26,FALSE),"")</f>
        <v>0</v>
      </c>
      <c r="F13" s="84">
        <f>IFERROR(+VLOOKUP("Anzahl "&amp;A13,Stundenaufzeichnung!$B:$AD,26,FALSE),"")</f>
        <v>0</v>
      </c>
      <c r="G13" s="84">
        <f>IFERROR(VLOOKUP("Summen "&amp;A13,Stundenaufzeichnung!$B:$AD,27,FALSE),"")</f>
        <v>0</v>
      </c>
      <c r="H13" s="84">
        <f t="shared" si="0"/>
        <v>0</v>
      </c>
      <c r="I13" s="39">
        <f>IFERROR(VLOOKUP("Anzahl "&amp;A13,Stundenaufzeichnung!$B:$AD,11,FALSE),"")</f>
        <v>0</v>
      </c>
      <c r="J13" s="39">
        <f>IFERROR(VLOOKUP("Anzahl "&amp;A13,Stundenaufzeichnung!$B:$AD,12,FALSE),"")</f>
        <v>0</v>
      </c>
      <c r="K13" s="39">
        <f>IFERROR(VLOOKUP("Summen "&amp;A13,Stundenaufzeichnung!$B:$AD,28,FALSE),"")</f>
        <v>1</v>
      </c>
      <c r="L13" s="43">
        <f>IFERROR(VLOOKUP("Summen "&amp;A13,Stundenaufzeichnung!$B:$AD,25,FALSE),"")</f>
        <v>0</v>
      </c>
      <c r="M13" s="40"/>
      <c r="N13" s="40">
        <f t="shared" si="1"/>
        <v>96</v>
      </c>
      <c r="O13" s="96" cm="1">
        <f t="array" aca="1" ref="O13" ca="1">INDIRECT("D"&amp;N13)</f>
        <v>3145.9331000000002</v>
      </c>
      <c r="Q13" s="158">
        <v>13.57</v>
      </c>
      <c r="R13" s="158">
        <v>16.3</v>
      </c>
      <c r="S13" s="158">
        <v>1.67</v>
      </c>
    </row>
    <row r="14" spans="1:19">
      <c r="A14" s="87" t="str">
        <f>Daten!P7</f>
        <v>Juni</v>
      </c>
      <c r="B14" s="99">
        <f>IFERROR(VLOOKUP("Summen "&amp;A14,Stundenaufzeichnung!$B:$AD,10,FALSE),"")</f>
        <v>173.41999999999993</v>
      </c>
      <c r="C14" s="92">
        <f>IFERROR(VLOOKUP("Summen "&amp;A14,Stundenaufzeichnung!$B:$AD,29,FALSE),"")</f>
        <v>13.34</v>
      </c>
      <c r="D14" s="92">
        <f>IFERROR(VLOOKUP("Summen "&amp;A14,Stundenaufzeichnung!$B:$AD,26,FALSE)+VLOOKUP("Anzahl "&amp;A14,Stundenaufzeichnung!$B:$AD,26,FALSE),"")</f>
        <v>0</v>
      </c>
      <c r="E14" s="92">
        <f>IFERROR(VLOOKUP("Summen "&amp;A14,Stundenaufzeichnung!$B:$AD,26,FALSE),"")</f>
        <v>0</v>
      </c>
      <c r="F14" s="92">
        <f>IFERROR(+VLOOKUP("Anzahl "&amp;A14,Stundenaufzeichnung!$B:$AD,26,FALSE),"")</f>
        <v>0</v>
      </c>
      <c r="G14" s="92">
        <f>IFERROR(VLOOKUP("Summen "&amp;A14,Stundenaufzeichnung!$B:$AD,27,FALSE),"")</f>
        <v>0</v>
      </c>
      <c r="H14" s="92">
        <f t="shared" si="0"/>
        <v>0</v>
      </c>
      <c r="I14" s="91">
        <f>IFERROR(VLOOKUP("Anzahl "&amp;A14,Stundenaufzeichnung!$B:$AD,11,FALSE),"")</f>
        <v>0</v>
      </c>
      <c r="J14" s="91">
        <f>IFERROR(VLOOKUP("Anzahl "&amp;A14,Stundenaufzeichnung!$B:$AD,12,FALSE),"")</f>
        <v>0</v>
      </c>
      <c r="K14" s="91">
        <f>IFERROR(VLOOKUP("Summen "&amp;A14,Stundenaufzeichnung!$B:$AD,28,FALSE),"")</f>
        <v>2</v>
      </c>
      <c r="L14" s="93">
        <f>IFERROR(VLOOKUP("Summen "&amp;A14,Stundenaufzeichnung!$B:$AD,25,FALSE),"")</f>
        <v>0</v>
      </c>
      <c r="M14" s="37"/>
      <c r="N14" s="37">
        <f t="shared" si="1"/>
        <v>111</v>
      </c>
      <c r="O14" s="95" cm="1">
        <f t="array" aca="1" ref="O14" ca="1">INDIRECT("D"&amp;N14)</f>
        <v>181.02379999999999</v>
      </c>
      <c r="Q14" s="158">
        <v>13.57</v>
      </c>
      <c r="R14" s="158">
        <v>16.3</v>
      </c>
      <c r="S14" s="158">
        <v>1.67</v>
      </c>
    </row>
    <row r="15" spans="1:19">
      <c r="A15" s="38" t="str">
        <f>Daten!P8</f>
        <v>Juli</v>
      </c>
      <c r="B15" s="98">
        <f>IFERROR(VLOOKUP("Summen "&amp;A15,Stundenaufzeichnung!$B:$AD,10,FALSE),"")</f>
        <v>173.41999999999993</v>
      </c>
      <c r="C15" s="84">
        <f>IFERROR(VLOOKUP("Summen "&amp;A15,Stundenaufzeichnung!$B:$AD,29,FALSE),"")</f>
        <v>0</v>
      </c>
      <c r="D15" s="84">
        <f>IFERROR(VLOOKUP("Summen "&amp;A15,Stundenaufzeichnung!$B:$AD,26,FALSE)+VLOOKUP("Anzahl "&amp;A15,Stundenaufzeichnung!$B:$AD,26,FALSE),"")</f>
        <v>0</v>
      </c>
      <c r="E15" s="84">
        <f>IFERROR(VLOOKUP("Summen "&amp;A15,Stundenaufzeichnung!$B:$AD,26,FALSE),"")</f>
        <v>0</v>
      </c>
      <c r="F15" s="84">
        <f>IFERROR(+VLOOKUP("Anzahl "&amp;A15,Stundenaufzeichnung!$B:$AD,26,FALSE),"")</f>
        <v>0</v>
      </c>
      <c r="G15" s="84">
        <f>IFERROR(VLOOKUP("Summen "&amp;A15,Stundenaufzeichnung!$B:$AD,27,FALSE),"")</f>
        <v>0</v>
      </c>
      <c r="H15" s="84">
        <f t="shared" si="0"/>
        <v>0</v>
      </c>
      <c r="I15" s="39">
        <f>IFERROR(VLOOKUP("Anzahl "&amp;A15,Stundenaufzeichnung!$B:$AD,11,FALSE),"")</f>
        <v>0</v>
      </c>
      <c r="J15" s="39">
        <f>IFERROR(VLOOKUP("Anzahl "&amp;A15,Stundenaufzeichnung!$B:$AD,12,FALSE),"")</f>
        <v>0</v>
      </c>
      <c r="K15" s="39">
        <f>IFERROR(VLOOKUP("Summen "&amp;A15,Stundenaufzeichnung!$B:$AD,28,FALSE),"")</f>
        <v>0</v>
      </c>
      <c r="L15" s="43">
        <f>IFERROR(VLOOKUP("Summen "&amp;A15,Stundenaufzeichnung!$B:$AD,25,FALSE),"")</f>
        <v>0</v>
      </c>
      <c r="M15" s="40"/>
      <c r="N15" s="40">
        <f t="shared" si="1"/>
        <v>126</v>
      </c>
      <c r="O15" s="96" cm="1">
        <f t="array" aca="1" ref="O15" ca="1">INDIRECT("D"&amp;N15)</f>
        <v>0</v>
      </c>
      <c r="Q15" s="158">
        <v>13.57</v>
      </c>
      <c r="R15" s="158">
        <v>16.3</v>
      </c>
      <c r="S15" s="158">
        <v>1.67</v>
      </c>
    </row>
    <row r="16" spans="1:19">
      <c r="A16" s="87" t="str">
        <f>Daten!P9</f>
        <v>August</v>
      </c>
      <c r="B16" s="99">
        <f>IFERROR(VLOOKUP("Summen "&amp;A16,Stundenaufzeichnung!$B:$AD,10,FALSE),"")</f>
        <v>180.08999999999992</v>
      </c>
      <c r="C16" s="92">
        <f>IFERROR(VLOOKUP("Summen "&amp;A16,Stundenaufzeichnung!$B:$AD,29,FALSE),"")</f>
        <v>6.67</v>
      </c>
      <c r="D16" s="92">
        <f>IFERROR(VLOOKUP("Summen "&amp;A16,Stundenaufzeichnung!$B:$AD,26,FALSE)+VLOOKUP("Anzahl "&amp;A16,Stundenaufzeichnung!$B:$AD,26,FALSE),"")</f>
        <v>0</v>
      </c>
      <c r="E16" s="92">
        <f>IFERROR(VLOOKUP("Summen "&amp;A16,Stundenaufzeichnung!$B:$AD,26,FALSE),"")</f>
        <v>0</v>
      </c>
      <c r="F16" s="92">
        <f>IFERROR(+VLOOKUP("Anzahl "&amp;A16,Stundenaufzeichnung!$B:$AD,26,FALSE),"")</f>
        <v>0</v>
      </c>
      <c r="G16" s="92">
        <f>IFERROR(VLOOKUP("Summen "&amp;A16,Stundenaufzeichnung!$B:$AD,27,FALSE),"")</f>
        <v>0</v>
      </c>
      <c r="H16" s="92">
        <f t="shared" si="0"/>
        <v>0</v>
      </c>
      <c r="I16" s="91">
        <f>IFERROR(VLOOKUP("Anzahl "&amp;A16,Stundenaufzeichnung!$B:$AD,11,FALSE),"")</f>
        <v>0</v>
      </c>
      <c r="J16" s="91">
        <f>IFERROR(VLOOKUP("Anzahl "&amp;A16,Stundenaufzeichnung!$B:$AD,12,FALSE),"")</f>
        <v>0</v>
      </c>
      <c r="K16" s="91">
        <f>IFERROR(VLOOKUP("Summen "&amp;A16,Stundenaufzeichnung!$B:$AD,28,FALSE),"")</f>
        <v>1</v>
      </c>
      <c r="L16" s="93">
        <f>IFERROR(VLOOKUP("Summen "&amp;A16,Stundenaufzeichnung!$B:$AD,25,FALSE),"")</f>
        <v>0</v>
      </c>
      <c r="M16" s="37"/>
      <c r="N16" s="37">
        <f t="shared" si="1"/>
        <v>141</v>
      </c>
      <c r="O16" s="95" cm="1">
        <f t="array" aca="1" ref="O16" ca="1">INDIRECT("D"&amp;N16)</f>
        <v>90.511899999999997</v>
      </c>
      <c r="Q16" s="158">
        <v>13.57</v>
      </c>
      <c r="R16" s="158">
        <v>16.3</v>
      </c>
      <c r="S16" s="158">
        <v>1.67</v>
      </c>
    </row>
    <row r="17" spans="1:19">
      <c r="A17" s="38" t="str">
        <f>Daten!P10</f>
        <v>September</v>
      </c>
      <c r="B17" s="98">
        <f>IFERROR(VLOOKUP("Summen "&amp;A17,Stundenaufzeichnung!$B:$AD,10,FALSE),"")</f>
        <v>173.41999999999993</v>
      </c>
      <c r="C17" s="84">
        <f>IFERROR(VLOOKUP("Summen "&amp;A17,Stundenaufzeichnung!$B:$AD,29,FALSE),"")</f>
        <v>0</v>
      </c>
      <c r="D17" s="84">
        <f>IFERROR(VLOOKUP("Summen "&amp;A17,Stundenaufzeichnung!$B:$AD,26,FALSE)+VLOOKUP("Anzahl "&amp;A17,Stundenaufzeichnung!$B:$AD,26,FALSE),"")</f>
        <v>0</v>
      </c>
      <c r="E17" s="84">
        <f>IFERROR(VLOOKUP("Summen "&amp;A17,Stundenaufzeichnung!$B:$AD,26,FALSE),"")</f>
        <v>0</v>
      </c>
      <c r="F17" s="84">
        <f>IFERROR(+VLOOKUP("Anzahl "&amp;A17,Stundenaufzeichnung!$B:$AD,26,FALSE),"")</f>
        <v>0</v>
      </c>
      <c r="G17" s="84">
        <f>IFERROR(VLOOKUP("Summen "&amp;A17,Stundenaufzeichnung!$B:$AD,27,FALSE),"")</f>
        <v>0</v>
      </c>
      <c r="H17" s="84">
        <f t="shared" si="0"/>
        <v>0</v>
      </c>
      <c r="I17" s="39">
        <f>IFERROR(VLOOKUP("Anzahl "&amp;A17,Stundenaufzeichnung!$B:$AD,11,FALSE),"")</f>
        <v>0</v>
      </c>
      <c r="J17" s="39">
        <f>IFERROR(VLOOKUP("Anzahl "&amp;A17,Stundenaufzeichnung!$B:$AD,12,FALSE),"")</f>
        <v>0</v>
      </c>
      <c r="K17" s="39">
        <f>IFERROR(VLOOKUP("Summen "&amp;A17,Stundenaufzeichnung!$B:$AD,28,FALSE),"")</f>
        <v>0</v>
      </c>
      <c r="L17" s="43">
        <f>IFERROR(VLOOKUP("Summen "&amp;A17,Stundenaufzeichnung!$B:$AD,25,FALSE),"")</f>
        <v>0</v>
      </c>
      <c r="M17" s="40"/>
      <c r="N17" s="40">
        <f t="shared" si="1"/>
        <v>156</v>
      </c>
      <c r="O17" s="96" cm="1">
        <f t="array" aca="1" ref="O17" ca="1">INDIRECT("D"&amp;N17)</f>
        <v>0</v>
      </c>
      <c r="Q17" s="158">
        <v>13.57</v>
      </c>
      <c r="R17" s="158">
        <v>16.3</v>
      </c>
      <c r="S17" s="158">
        <v>1.67</v>
      </c>
    </row>
    <row r="18" spans="1:19">
      <c r="A18" s="87" t="str">
        <f>Daten!P11</f>
        <v>Oktober</v>
      </c>
      <c r="B18" s="99">
        <f>IFERROR(VLOOKUP("Summen "&amp;A18,Stundenaufzeichnung!$B:$AD,10,FALSE),"")</f>
        <v>173.41999999999993</v>
      </c>
      <c r="C18" s="92">
        <f>IFERROR(VLOOKUP("Summen "&amp;A18,Stundenaufzeichnung!$B:$AD,29,FALSE),"")</f>
        <v>6.67</v>
      </c>
      <c r="D18" s="92">
        <f>IFERROR(VLOOKUP("Summen "&amp;A18,Stundenaufzeichnung!$B:$AD,26,FALSE)+VLOOKUP("Anzahl "&amp;A18,Stundenaufzeichnung!$B:$AD,26,FALSE),"")</f>
        <v>0</v>
      </c>
      <c r="E18" s="92">
        <f>IFERROR(VLOOKUP("Summen "&amp;A18,Stundenaufzeichnung!$B:$AD,26,FALSE),"")</f>
        <v>0</v>
      </c>
      <c r="F18" s="92">
        <f>IFERROR(+VLOOKUP("Anzahl "&amp;A18,Stundenaufzeichnung!$B:$AD,26,FALSE),"")</f>
        <v>0</v>
      </c>
      <c r="G18" s="92">
        <f>IFERROR(VLOOKUP("Summen "&amp;A18,Stundenaufzeichnung!$B:$AD,27,FALSE),"")</f>
        <v>0</v>
      </c>
      <c r="H18" s="92">
        <f t="shared" si="0"/>
        <v>0</v>
      </c>
      <c r="I18" s="91">
        <f>IFERROR(VLOOKUP("Anzahl "&amp;A18,Stundenaufzeichnung!$B:$AD,11,FALSE),"")</f>
        <v>0</v>
      </c>
      <c r="J18" s="91">
        <f>IFERROR(VLOOKUP("Anzahl "&amp;A18,Stundenaufzeichnung!$B:$AD,12,FALSE),"")</f>
        <v>0</v>
      </c>
      <c r="K18" s="91">
        <f>IFERROR(VLOOKUP("Summen "&amp;A18,Stundenaufzeichnung!$B:$AD,28,FALSE),"")</f>
        <v>1</v>
      </c>
      <c r="L18" s="93">
        <f>IFERROR(VLOOKUP("Summen "&amp;A18,Stundenaufzeichnung!$B:$AD,25,FALSE),"")</f>
        <v>0</v>
      </c>
      <c r="M18" s="37"/>
      <c r="N18" s="37">
        <f t="shared" si="1"/>
        <v>171</v>
      </c>
      <c r="O18" s="95" cm="1">
        <f t="array" aca="1" ref="O18" ca="1">INDIRECT("D"&amp;N18)</f>
        <v>3145.9331000000002</v>
      </c>
      <c r="Q18" s="158">
        <v>13.57</v>
      </c>
      <c r="R18" s="158">
        <v>16.3</v>
      </c>
      <c r="S18" s="158">
        <v>1.67</v>
      </c>
    </row>
    <row r="19" spans="1:19">
      <c r="A19" s="38" t="str">
        <f>Daten!P12</f>
        <v>November</v>
      </c>
      <c r="B19" s="98">
        <f>IFERROR(VLOOKUP("Summen "&amp;A19,Stundenaufzeichnung!$B:$AD,10,FALSE),"")</f>
        <v>173.41999999999993</v>
      </c>
      <c r="C19" s="84">
        <f>IFERROR(VLOOKUP("Summen "&amp;A19,Stundenaufzeichnung!$B:$AD,29,FALSE),"")</f>
        <v>6.67</v>
      </c>
      <c r="D19" s="84">
        <f>IFERROR(VLOOKUP("Summen "&amp;A19,Stundenaufzeichnung!$B:$AD,26,FALSE)+VLOOKUP("Anzahl "&amp;A19,Stundenaufzeichnung!$B:$AD,26,FALSE),"")</f>
        <v>0</v>
      </c>
      <c r="E19" s="84">
        <f>IFERROR(VLOOKUP("Summen "&amp;A19,Stundenaufzeichnung!$B:$AD,26,FALSE),"")</f>
        <v>0</v>
      </c>
      <c r="F19" s="84">
        <f>IFERROR(+VLOOKUP("Anzahl "&amp;A19,Stundenaufzeichnung!$B:$AD,26,FALSE),"")</f>
        <v>0</v>
      </c>
      <c r="G19" s="84">
        <f>IFERROR(VLOOKUP("Summen "&amp;A19,Stundenaufzeichnung!$B:$AD,27,FALSE),"")</f>
        <v>0</v>
      </c>
      <c r="H19" s="84">
        <f t="shared" si="0"/>
        <v>0</v>
      </c>
      <c r="I19" s="39">
        <f>IFERROR(VLOOKUP("Anzahl "&amp;A19,Stundenaufzeichnung!$B:$AD,11,FALSE),"")</f>
        <v>0</v>
      </c>
      <c r="J19" s="39">
        <f>IFERROR(VLOOKUP("Anzahl "&amp;A19,Stundenaufzeichnung!$B:$AD,12,FALSE),"")</f>
        <v>0</v>
      </c>
      <c r="K19" s="39">
        <f>IFERROR(VLOOKUP("Summen "&amp;A19,Stundenaufzeichnung!$B:$AD,28,FALSE),"")</f>
        <v>1</v>
      </c>
      <c r="L19" s="43">
        <f>IFERROR(VLOOKUP("Summen "&amp;A19,Stundenaufzeichnung!$B:$AD,25,FALSE),"")</f>
        <v>0</v>
      </c>
      <c r="M19" s="40"/>
      <c r="N19" s="40">
        <f t="shared" si="1"/>
        <v>186</v>
      </c>
      <c r="O19" s="96" cm="1">
        <f t="array" aca="1" ref="O19" ca="1">INDIRECT("D"&amp;N19)</f>
        <v>90.511899999999997</v>
      </c>
      <c r="Q19" s="158">
        <v>13.57</v>
      </c>
      <c r="R19" s="158">
        <v>16.3</v>
      </c>
      <c r="S19" s="158">
        <v>1.67</v>
      </c>
    </row>
    <row r="20" spans="1:19">
      <c r="A20" s="87" t="str">
        <f>Daten!P13</f>
        <v>Dezember</v>
      </c>
      <c r="B20" s="99">
        <f>IFERROR(VLOOKUP("Summen "&amp;A20,Stundenaufzeichnung!$B:$AD,10,FALSE),"")</f>
        <v>180.08999999999992</v>
      </c>
      <c r="C20" s="92">
        <f>IFERROR(VLOOKUP("Summen "&amp;A20,Stundenaufzeichnung!$B:$AD,29,FALSE),"")</f>
        <v>13.34</v>
      </c>
      <c r="D20" s="92">
        <f>IFERROR(VLOOKUP("Summen "&amp;A20,Stundenaufzeichnung!$B:$AD,26,FALSE)+VLOOKUP("Anzahl "&amp;A20,Stundenaufzeichnung!$B:$AD,26,FALSE),"")</f>
        <v>0</v>
      </c>
      <c r="E20" s="92">
        <f>IFERROR(VLOOKUP("Summen "&amp;A20,Stundenaufzeichnung!$B:$AD,26,FALSE),"")</f>
        <v>0</v>
      </c>
      <c r="F20" s="92">
        <f>IFERROR(+VLOOKUP("Anzahl "&amp;A20,Stundenaufzeichnung!$B:$AD,26,FALSE),"")</f>
        <v>0</v>
      </c>
      <c r="G20" s="92">
        <f>IFERROR(VLOOKUP("Summen "&amp;A20,Stundenaufzeichnung!$B:$AD,27,FALSE),"")</f>
        <v>0</v>
      </c>
      <c r="H20" s="92">
        <f t="shared" si="0"/>
        <v>0</v>
      </c>
      <c r="I20" s="91">
        <f>IFERROR(VLOOKUP("Anzahl "&amp;A20,Stundenaufzeichnung!$B:$AD,11,FALSE),"")</f>
        <v>0</v>
      </c>
      <c r="J20" s="91">
        <f>IFERROR(VLOOKUP("Anzahl "&amp;A20,Stundenaufzeichnung!$B:$AD,12,FALSE),"")</f>
        <v>0</v>
      </c>
      <c r="K20" s="91">
        <f>IFERROR(VLOOKUP("Summen "&amp;A20,Stundenaufzeichnung!$B:$AD,28,FALSE),"")</f>
        <v>2</v>
      </c>
      <c r="L20" s="93">
        <f>IFERROR(VLOOKUP("Summen "&amp;A20,Stundenaufzeichnung!$B:$AD,25,FALSE),"")</f>
        <v>0</v>
      </c>
      <c r="M20" s="37"/>
      <c r="N20" s="37">
        <f t="shared" si="1"/>
        <v>201</v>
      </c>
      <c r="O20" s="95" cm="1">
        <f t="array" aca="1" ref="O20" ca="1">INDIRECT("D"&amp;N20)</f>
        <v>181.02379999999999</v>
      </c>
      <c r="Q20" s="158">
        <v>13.57</v>
      </c>
      <c r="R20" s="158">
        <v>16.3</v>
      </c>
      <c r="S20" s="158">
        <v>1.67</v>
      </c>
    </row>
    <row r="21" spans="1:19">
      <c r="K21" s="223" t="s">
        <v>186</v>
      </c>
      <c r="L21" s="223"/>
      <c r="M21" s="90"/>
      <c r="N21" s="2"/>
      <c r="O21" s="89">
        <f ca="1">SUM(O9:O20)</f>
        <v>7106.4733000000006</v>
      </c>
    </row>
    <row r="24" spans="1:19">
      <c r="A24" s="2">
        <v>1</v>
      </c>
      <c r="B24" s="224" t="str">
        <f>VLOOKUP('Übersicht Monate'!A24,Daten!$Q$2:$R$13,2,FALSE)</f>
        <v>Jänner</v>
      </c>
      <c r="C24" s="224"/>
      <c r="D24" s="224"/>
    </row>
    <row r="25" spans="1:19">
      <c r="A25" s="3" t="s">
        <v>172</v>
      </c>
      <c r="B25" s="3" t="s">
        <v>173</v>
      </c>
      <c r="C25" s="3" t="s">
        <v>174</v>
      </c>
      <c r="D25" s="3" t="s">
        <v>175</v>
      </c>
      <c r="E25" s="155" t="s">
        <v>207</v>
      </c>
    </row>
    <row r="26" spans="1:19">
      <c r="A26" s="82" t="s">
        <v>171</v>
      </c>
      <c r="B26">
        <f>IF(VLOOKUP(B24,$A$9:$L$20,12,FALSE)="","",VLOOKUP(B24,$A$9:$L$20,12,FALSE))</f>
        <v>0</v>
      </c>
      <c r="C26" s="86" t="str">
        <f>IF(OR(B26="",B26=0),"",(VLOOKUP(B24,$A$9:$S$20,19,FALSE)))</f>
        <v/>
      </c>
      <c r="D26" s="86" t="str">
        <f>IF(OR(B26="",B26=0),"",B26*C26)</f>
        <v/>
      </c>
    </row>
    <row r="27" spans="1:19">
      <c r="A27" s="82" t="s">
        <v>176</v>
      </c>
      <c r="B27" s="5">
        <f>IF(VLOOKUP(B24,$A$9:$L$20,10,FALSE)="","",VLOOKUP(B24,$A$9:$L$20,10,FALSE)*$G$5)</f>
        <v>0</v>
      </c>
      <c r="C27" s="86" t="str">
        <f>IF(OR(B27="",B27=0),"",(VLOOKUP(B24,$A$9:$S$20,18,FALSE)))</f>
        <v/>
      </c>
      <c r="D27" s="86" t="str">
        <f>IF(OR(B27="",B27=0),"",B27*C27)</f>
        <v/>
      </c>
    </row>
    <row r="28" spans="1:19">
      <c r="A28" s="82" t="s">
        <v>206</v>
      </c>
      <c r="B28" s="5">
        <f>IF(VLOOKUP(B24,$A$9:$L$20,9,FALSE)="","",VLOOKUP(B24,$A$9:$L$20,9,FALSE)*$G$5)</f>
        <v>0</v>
      </c>
      <c r="C28" s="86" t="str">
        <f>IF(OR(B28="",B28=0),"",(VLOOKUP(B24,$A$9:$S$20,18,FALSE)))</f>
        <v/>
      </c>
      <c r="D28" s="86" t="str">
        <f>IF(OR(B28="",B28=0),"",B28*C28)</f>
        <v/>
      </c>
      <c r="G28" s="4"/>
    </row>
    <row r="29" spans="1:19">
      <c r="A29" s="82" t="s">
        <v>177</v>
      </c>
      <c r="B29" s="4">
        <f>IF(VLOOKUP(B24,$A$9:$L$20,8,FALSE)="","",VLOOKUP(B24,$A$9:$L$20,8,FALSE))</f>
        <v>0</v>
      </c>
      <c r="C29" s="86" t="str">
        <f>IF(OR(B29="",B29=0),"",(VLOOKUP(B24,$A$9:$S$20,17,FALSE)))</f>
        <v/>
      </c>
      <c r="D29" s="86" t="str">
        <f>IF(OR(B29="",B29=0),"",B29*C29)</f>
        <v/>
      </c>
    </row>
    <row r="30" spans="1:19">
      <c r="A30" s="82" t="s">
        <v>178</v>
      </c>
      <c r="B30" s="4">
        <f>IF(VLOOKUP(B24,$A$9:$L$20,5,FALSE)="","",VLOOKUP(B24,$A$9:$L$20,5,FALSE))</f>
        <v>0</v>
      </c>
      <c r="C30" s="86" t="str">
        <f>IF(OR(B30="",B30=0),"",(VLOOKUP(B24,$A$9:$S$20,17,FALSE)/2))</f>
        <v/>
      </c>
      <c r="D30" s="86" t="str">
        <f t="shared" ref="D30:D35" si="2">IF(OR(B30="",B30=0),"",B30*C30)</f>
        <v/>
      </c>
    </row>
    <row r="31" spans="1:19">
      <c r="A31" s="82" t="s">
        <v>179</v>
      </c>
      <c r="B31" s="4">
        <f>IF(VLOOKUP(B24,$A$9:$L$20,6,FALSE)="","",VLOOKUP(B24,$A$9:$L$20,6,FALSE))</f>
        <v>0</v>
      </c>
      <c r="C31" s="86" t="str">
        <f>IF(OR(B31="",B31=0),"",(VLOOKUP(B24,$A$9:$S$20,17,FALSE)/2))</f>
        <v/>
      </c>
      <c r="D31" s="86" t="str">
        <f t="shared" si="2"/>
        <v/>
      </c>
      <c r="G31" s="85"/>
    </row>
    <row r="32" spans="1:19">
      <c r="A32" s="82" t="s">
        <v>180</v>
      </c>
      <c r="B32" s="4">
        <f>IF(VLOOKUP(B24,$A$9:$L$20,7,FALSE)="","",VLOOKUP(B24,$A$9:$L$20,7,FALSE))</f>
        <v>0</v>
      </c>
      <c r="C32" s="86" t="str">
        <f>IF(OR(B32="",B32=0),"",(VLOOKUP(B24,$A$9:$S$20,17,FALSE)))</f>
        <v/>
      </c>
      <c r="D32" s="86" t="str">
        <f t="shared" si="2"/>
        <v/>
      </c>
      <c r="G32" s="5"/>
    </row>
    <row r="33" spans="1:14">
      <c r="A33" s="82" t="s">
        <v>181</v>
      </c>
      <c r="B33" t="str">
        <f>IF(A24=$M$3,Datenblatt!$B$5*4.33,"")</f>
        <v/>
      </c>
      <c r="C33" s="86" t="str">
        <f>IF(OR(B33="",B33=0),"",(VLOOKUP(B24,$A$9:$S$20,17,FALSE)*1.3))</f>
        <v/>
      </c>
      <c r="D33" s="86" t="str">
        <f t="shared" si="2"/>
        <v/>
      </c>
      <c r="E33" s="5" t="str">
        <f>IF(D33="","","(nicht sicher)")</f>
        <v/>
      </c>
      <c r="G33" s="5"/>
      <c r="H33" s="4"/>
    </row>
    <row r="34" spans="1:14">
      <c r="A34" s="82" t="s">
        <v>182</v>
      </c>
      <c r="B34" t="str">
        <f>IF(A24=$M$4,Datenblatt!$B$5*4.33,"")</f>
        <v/>
      </c>
      <c r="C34" s="86" t="str">
        <f>IF(OR(B34="",B34=0),"",(VLOOKUP(B24,$A$9:$S$20,17,FALSE)*1.3))</f>
        <v/>
      </c>
      <c r="D34" s="86" t="str">
        <f t="shared" si="2"/>
        <v/>
      </c>
      <c r="E34" s="5" t="str">
        <f>IF(D34="","","(nicht sicher)")</f>
        <v/>
      </c>
    </row>
    <row r="35" spans="1:14">
      <c r="A35" s="82" t="s">
        <v>183</v>
      </c>
      <c r="B35" s="4">
        <f>IF(VLOOKUP(B24,$A$9:$L$20,3,FALSE)="","",VLOOKUP(B24,$A$9:$L$20,3,FALSE)-B27-B28-B29)</f>
        <v>13.34</v>
      </c>
      <c r="C35" s="86">
        <f>IF(OR(B35="",B35=0),"",(VLOOKUP(B24,$A$9:$S$20,17,FALSE)))</f>
        <v>13.57</v>
      </c>
      <c r="D35" s="86">
        <f t="shared" si="2"/>
        <v>181.02379999999999</v>
      </c>
      <c r="F35"/>
      <c r="G35" s="4"/>
      <c r="H35" s="4"/>
      <c r="J35" s="5"/>
      <c r="K35" s="5"/>
      <c r="M35"/>
      <c r="N35"/>
    </row>
    <row r="36" spans="1:14">
      <c r="A36" s="7" t="s">
        <v>184</v>
      </c>
      <c r="D36" s="89">
        <f>SUM(D26:D35)</f>
        <v>181.02379999999999</v>
      </c>
    </row>
    <row r="37" spans="1:14">
      <c r="A37" s="88"/>
      <c r="B37" s="35"/>
      <c r="C37" s="35"/>
      <c r="D37" s="35"/>
    </row>
    <row r="38" spans="1:14">
      <c r="A38" s="82"/>
    </row>
    <row r="39" spans="1:14">
      <c r="A39" s="2">
        <f>A24+1</f>
        <v>2</v>
      </c>
      <c r="B39" s="224" t="str">
        <f>VLOOKUP('Übersicht Monate'!A39,Daten!$Q$2:$R$13,2,FALSE)</f>
        <v>Februar</v>
      </c>
      <c r="C39" s="224"/>
      <c r="D39" s="224"/>
    </row>
    <row r="40" spans="1:14">
      <c r="A40" s="155" t="s">
        <v>172</v>
      </c>
      <c r="B40" s="155" t="s">
        <v>173</v>
      </c>
      <c r="C40" s="155" t="s">
        <v>174</v>
      </c>
      <c r="D40" s="155" t="s">
        <v>175</v>
      </c>
      <c r="E40" s="155" t="s">
        <v>207</v>
      </c>
    </row>
    <row r="41" spans="1:14">
      <c r="A41" s="154" t="s">
        <v>171</v>
      </c>
      <c r="B41" s="5">
        <f>IF(VLOOKUP(B39,$A$9:$L$20,12,FALSE)="","",VLOOKUP(B39,$A$9:$L$20,12,FALSE))</f>
        <v>0</v>
      </c>
      <c r="C41" s="86" t="str">
        <f>IF(OR(B41="",B41=0),"",(VLOOKUP(B39,$A$9:$S$20,19,FALSE)))</f>
        <v/>
      </c>
      <c r="D41" s="86" t="str">
        <f>IF(OR(B41="",B41=0),"",B41*C41)</f>
        <v/>
      </c>
    </row>
    <row r="42" spans="1:14">
      <c r="A42" s="154" t="s">
        <v>176</v>
      </c>
      <c r="B42" s="5">
        <f>IF(VLOOKUP(B39,$A$9:$L$20,10,FALSE)="","",VLOOKUP(B39,$A$9:$L$20,10,FALSE)*$G$5)</f>
        <v>0</v>
      </c>
      <c r="C42" s="86" t="str">
        <f>IF(OR(B42="",B42=0),"",(VLOOKUP(B39,$A$9:$S$20,18,FALSE)))</f>
        <v/>
      </c>
      <c r="D42" s="86" t="str">
        <f>IF(OR(B42="",B42=0),"",B42*C42)</f>
        <v/>
      </c>
    </row>
    <row r="43" spans="1:14">
      <c r="A43" s="154" t="s">
        <v>206</v>
      </c>
      <c r="B43" s="5">
        <f>IF(VLOOKUP(B39,$A$9:$L$20,9,FALSE)="","",VLOOKUP(B39,$A$9:$L$20,9,FALSE)*$G$5)</f>
        <v>0</v>
      </c>
      <c r="C43" s="86" t="str">
        <f>IF(OR(B43="",B43=0),"",(VLOOKUP(B39,$A$9:$S$20,18,FALSE)))</f>
        <v/>
      </c>
      <c r="D43" s="86" t="str">
        <f>IF(OR(B43="",B43=0),"",B43*C43)</f>
        <v/>
      </c>
    </row>
    <row r="44" spans="1:14">
      <c r="A44" s="154" t="s">
        <v>177</v>
      </c>
      <c r="B44" s="4">
        <f>IF(VLOOKUP(B39,$A$9:$L$20,8,FALSE)="","",VLOOKUP(B39,$A$9:$L$20,8,FALSE))</f>
        <v>0</v>
      </c>
      <c r="C44" s="86" t="str">
        <f>IF(OR(B44="",B44=0),"",(VLOOKUP(B39,$A$9:$S$20,17,FALSE)))</f>
        <v/>
      </c>
      <c r="D44" s="86" t="str">
        <f>IF(OR(B44="",B44=0),"",B44*C44)</f>
        <v/>
      </c>
    </row>
    <row r="45" spans="1:14">
      <c r="A45" s="154" t="s">
        <v>178</v>
      </c>
      <c r="B45" s="4">
        <f>IF(VLOOKUP(B39,$A$9:$L$20,5,FALSE)="","",VLOOKUP(B39,$A$9:$L$20,5,FALSE))</f>
        <v>0</v>
      </c>
      <c r="C45" s="86" t="str">
        <f>IF(OR(B45="",B45=0),"",(VLOOKUP(B39,$A$9:$S$20,17,FALSE)/2))</f>
        <v/>
      </c>
      <c r="D45" s="86" t="str">
        <f t="shared" ref="D45:D50" si="3">IF(OR(B45="",B45=0),"",B45*C45)</f>
        <v/>
      </c>
    </row>
    <row r="46" spans="1:14">
      <c r="A46" s="154" t="s">
        <v>179</v>
      </c>
      <c r="B46" s="4">
        <f>IF(VLOOKUP(B39,$A$9:$L$20,6,FALSE)="","",VLOOKUP(B39,$A$9:$L$20,6,FALSE))</f>
        <v>0</v>
      </c>
      <c r="C46" s="86" t="str">
        <f>IF(OR(B46="",B46=0),"",(VLOOKUP(B39,$A$9:$S$20,17,FALSE)/2))</f>
        <v/>
      </c>
      <c r="D46" s="86" t="str">
        <f t="shared" si="3"/>
        <v/>
      </c>
    </row>
    <row r="47" spans="1:14">
      <c r="A47" s="154" t="s">
        <v>180</v>
      </c>
      <c r="B47" s="4">
        <f>IF(VLOOKUP(B39,$A$9:$L$20,7,FALSE)="","",VLOOKUP(B39,$A$9:$L$20,7,FALSE))</f>
        <v>0</v>
      </c>
      <c r="C47" s="86" t="str">
        <f>IF(OR(B47="",B47=0),"",(VLOOKUP(B39,$A$9:$S$20,17,FALSE)))</f>
        <v/>
      </c>
      <c r="D47" s="86" t="str">
        <f t="shared" si="3"/>
        <v/>
      </c>
    </row>
    <row r="48" spans="1:14">
      <c r="A48" s="154" t="s">
        <v>181</v>
      </c>
      <c r="B48" s="5" t="str">
        <f>IF(A39=$M$3,Datenblatt!$B$5*4.33,"")</f>
        <v/>
      </c>
      <c r="C48" s="86" t="str">
        <f>IF(OR(B48="",B48=0),"",(VLOOKUP(B39,$A$9:$S$20,17,FALSE)*1.3))</f>
        <v/>
      </c>
      <c r="D48" s="86" t="str">
        <f t="shared" si="3"/>
        <v/>
      </c>
      <c r="E48" s="5" t="str">
        <f>IF(D48="","","(nicht sicher)")</f>
        <v/>
      </c>
    </row>
    <row r="49" spans="1:5">
      <c r="A49" s="154" t="s">
        <v>182</v>
      </c>
      <c r="B49" s="5" t="str">
        <f>IF(A39=$M$4,Datenblatt!$B$5*4.33,"")</f>
        <v/>
      </c>
      <c r="C49" s="86" t="str">
        <f>IF(OR(B49="",B49=0),"",(VLOOKUP(B39,$A$9:$S$20,17,FALSE)*1.3))</f>
        <v/>
      </c>
      <c r="D49" s="86" t="str">
        <f t="shared" si="3"/>
        <v/>
      </c>
      <c r="E49" s="5" t="str">
        <f>IF(D49="","","(nicht sicher)")</f>
        <v/>
      </c>
    </row>
    <row r="50" spans="1:5">
      <c r="A50" s="154" t="s">
        <v>183</v>
      </c>
      <c r="B50" s="4">
        <f>IF(VLOOKUP(B39,$A$9:$L$20,3,FALSE)="","",VLOOKUP(B39,$A$9:$L$20,3,FALSE)-B42-B43-B44)</f>
        <v>0</v>
      </c>
      <c r="C50" s="86" t="str">
        <f>IF(OR(B50="",B50=0),"",(VLOOKUP(B39,$A$9:$S$20,17,FALSE)))</f>
        <v/>
      </c>
      <c r="D50" s="86" t="str">
        <f t="shared" si="3"/>
        <v/>
      </c>
    </row>
    <row r="51" spans="1:5">
      <c r="A51" s="7" t="s">
        <v>184</v>
      </c>
      <c r="B51" s="5"/>
      <c r="C51" s="5"/>
      <c r="D51" s="89">
        <f>SUM(D41:D50)</f>
        <v>0</v>
      </c>
    </row>
    <row r="52" spans="1:5">
      <c r="A52" s="88"/>
      <c r="B52" s="35"/>
      <c r="C52" s="35"/>
      <c r="D52" s="35"/>
    </row>
    <row r="53" spans="1:5">
      <c r="A53" s="154"/>
      <c r="B53" s="5"/>
      <c r="C53" s="5"/>
    </row>
    <row r="54" spans="1:5">
      <c r="A54" s="2">
        <f>A39+1</f>
        <v>3</v>
      </c>
      <c r="B54" s="224" t="str">
        <f>VLOOKUP('Übersicht Monate'!A54,Daten!$Q$2:$R$13,2,FALSE)</f>
        <v>März</v>
      </c>
      <c r="C54" s="224"/>
      <c r="D54" s="224"/>
    </row>
    <row r="55" spans="1:5">
      <c r="A55" s="155" t="s">
        <v>172</v>
      </c>
      <c r="B55" s="155" t="s">
        <v>173</v>
      </c>
      <c r="C55" s="155" t="s">
        <v>174</v>
      </c>
      <c r="D55" s="155" t="s">
        <v>175</v>
      </c>
      <c r="E55" s="155" t="s">
        <v>207</v>
      </c>
    </row>
    <row r="56" spans="1:5">
      <c r="A56" s="154" t="s">
        <v>171</v>
      </c>
      <c r="B56" s="5">
        <f>IF(VLOOKUP(B54,$A$9:$L$20,12,FALSE)="","",VLOOKUP(B54,$A$9:$L$20,12,FALSE))</f>
        <v>0</v>
      </c>
      <c r="C56" s="86" t="str">
        <f>IF(OR(B56="",B56=0),"",(VLOOKUP(B54,$A$9:$S$20,19,FALSE)))</f>
        <v/>
      </c>
      <c r="D56" s="86" t="str">
        <f>IF(OR(B56="",B56=0),"",B56*C56)</f>
        <v/>
      </c>
    </row>
    <row r="57" spans="1:5">
      <c r="A57" s="154" t="s">
        <v>176</v>
      </c>
      <c r="B57" s="5">
        <f>IF(VLOOKUP(B54,$A$9:$L$20,10,FALSE)="","",VLOOKUP(B54,$A$9:$L$20,10,FALSE)*$G$5)</f>
        <v>0</v>
      </c>
      <c r="C57" s="86" t="str">
        <f>IF(OR(B57="",B57=0),"",(VLOOKUP(B54,$A$9:$S$20,18,FALSE)))</f>
        <v/>
      </c>
      <c r="D57" s="86" t="str">
        <f>IF(OR(B57="",B57=0),"",B57*C57)</f>
        <v/>
      </c>
    </row>
    <row r="58" spans="1:5">
      <c r="A58" s="154" t="s">
        <v>206</v>
      </c>
      <c r="B58" s="5">
        <f>IF(VLOOKUP(B54,$A$9:$L$20,9,FALSE)="","",VLOOKUP(B54,$A$9:$L$20,9,FALSE)*$G$5)</f>
        <v>0</v>
      </c>
      <c r="C58" s="86" t="str">
        <f>IF(OR(B58="",B58=0),"",(VLOOKUP(B54,$A$9:$S$20,18,FALSE)))</f>
        <v/>
      </c>
      <c r="D58" s="86" t="str">
        <f>IF(OR(B58="",B58=0),"",B58*C58)</f>
        <v/>
      </c>
    </row>
    <row r="59" spans="1:5">
      <c r="A59" s="154" t="s">
        <v>177</v>
      </c>
      <c r="B59" s="4">
        <f>IF(VLOOKUP(B54,$A$9:$L$20,8,FALSE)="","",VLOOKUP(B54,$A$9:$L$20,8,FALSE))</f>
        <v>0</v>
      </c>
      <c r="C59" s="86" t="str">
        <f>IF(OR(B59="",B59=0),"",(VLOOKUP(B54,$A$9:$S$20,17,FALSE)))</f>
        <v/>
      </c>
      <c r="D59" s="86" t="str">
        <f>IF(OR(B59="",B59=0),"",B59*C59)</f>
        <v/>
      </c>
    </row>
    <row r="60" spans="1:5">
      <c r="A60" s="154" t="s">
        <v>178</v>
      </c>
      <c r="B60" s="4">
        <f>IF(VLOOKUP(B54,$A$9:$L$20,5,FALSE)="","",VLOOKUP(B54,$A$9:$L$20,5,FALSE))</f>
        <v>0</v>
      </c>
      <c r="C60" s="86" t="str">
        <f>IF(OR(B60="",B60=0),"",(VLOOKUP(B54,$A$9:$S$20,17,FALSE)/2))</f>
        <v/>
      </c>
      <c r="D60" s="86" t="str">
        <f t="shared" ref="D60:D65" si="4">IF(OR(B60="",B60=0),"",B60*C60)</f>
        <v/>
      </c>
    </row>
    <row r="61" spans="1:5">
      <c r="A61" s="154" t="s">
        <v>179</v>
      </c>
      <c r="B61" s="4">
        <f>IF(VLOOKUP(B54,$A$9:$L$20,6,FALSE)="","",VLOOKUP(B54,$A$9:$L$20,6,FALSE))</f>
        <v>0</v>
      </c>
      <c r="C61" s="86" t="str">
        <f>IF(OR(B61="",B61=0),"",(VLOOKUP(B54,$A$9:$S$20,17,FALSE)/2))</f>
        <v/>
      </c>
      <c r="D61" s="86" t="str">
        <f t="shared" si="4"/>
        <v/>
      </c>
    </row>
    <row r="62" spans="1:5">
      <c r="A62" s="154" t="s">
        <v>180</v>
      </c>
      <c r="B62" s="4">
        <f>IF(VLOOKUP(B54,$A$9:$L$20,7,FALSE)="","",VLOOKUP(B54,$A$9:$L$20,7,FALSE))</f>
        <v>0</v>
      </c>
      <c r="C62" s="86" t="str">
        <f>IF(OR(B62="",B62=0),"",(VLOOKUP(B54,$A$9:$S$20,17,FALSE)))</f>
        <v/>
      </c>
      <c r="D62" s="86" t="str">
        <f t="shared" si="4"/>
        <v/>
      </c>
    </row>
    <row r="63" spans="1:5">
      <c r="A63" s="154" t="s">
        <v>181</v>
      </c>
      <c r="B63" s="5" t="str">
        <f>IF(A54=$M$3,Datenblatt!$B$5*4.33,"")</f>
        <v/>
      </c>
      <c r="C63" s="86" t="str">
        <f>IF(OR(B63="",B63=0),"",(VLOOKUP(B54,$A$9:$S$20,17,FALSE)*1.3))</f>
        <v/>
      </c>
      <c r="D63" s="86" t="str">
        <f t="shared" si="4"/>
        <v/>
      </c>
      <c r="E63" s="5" t="str">
        <f>IF(D63="","","(nicht sicher)")</f>
        <v/>
      </c>
    </row>
    <row r="64" spans="1:5">
      <c r="A64" s="154" t="s">
        <v>182</v>
      </c>
      <c r="B64" s="5" t="str">
        <f>IF(A54=$M$4,Datenblatt!$B$5*4.33,"")</f>
        <v/>
      </c>
      <c r="C64" s="86" t="str">
        <f>IF(OR(B64="",B64=0),"",(VLOOKUP(B54,$A$9:$S$20,17,FALSE)*1.3))</f>
        <v/>
      </c>
      <c r="D64" s="86" t="str">
        <f t="shared" si="4"/>
        <v/>
      </c>
      <c r="E64" s="5" t="str">
        <f>IF(D64="","","(nicht sicher)")</f>
        <v/>
      </c>
    </row>
    <row r="65" spans="1:5">
      <c r="A65" s="154" t="s">
        <v>183</v>
      </c>
      <c r="B65" s="4">
        <f>IF(VLOOKUP(B54,$A$9:$L$20,3,FALSE)="","",VLOOKUP(B54,$A$9:$L$20,3,FALSE)-B57-B58-B59)</f>
        <v>0</v>
      </c>
      <c r="C65" s="86" t="str">
        <f>IF(OR(B65="",B65=0),"",(VLOOKUP(B54,$A$9:$S$20,17,FALSE)))</f>
        <v/>
      </c>
      <c r="D65" s="86" t="str">
        <f t="shared" si="4"/>
        <v/>
      </c>
    </row>
    <row r="66" spans="1:5">
      <c r="A66" s="7" t="s">
        <v>184</v>
      </c>
      <c r="B66" s="5"/>
      <c r="C66" s="5"/>
      <c r="D66" s="89">
        <f>SUM(D56:D65)</f>
        <v>0</v>
      </c>
    </row>
    <row r="67" spans="1:5">
      <c r="A67" s="88"/>
      <c r="B67" s="35"/>
      <c r="C67" s="35"/>
      <c r="D67" s="35"/>
    </row>
    <row r="68" spans="1:5">
      <c r="A68" s="154"/>
      <c r="B68" s="5"/>
      <c r="C68" s="5"/>
    </row>
    <row r="69" spans="1:5">
      <c r="A69" s="2">
        <f>A54+1</f>
        <v>4</v>
      </c>
      <c r="B69" s="224" t="str">
        <f>VLOOKUP('Übersicht Monate'!A69,Daten!$Q$2:$R$13,2,FALSE)</f>
        <v>April</v>
      </c>
      <c r="C69" s="224"/>
      <c r="D69" s="224"/>
    </row>
    <row r="70" spans="1:5">
      <c r="A70" s="155" t="s">
        <v>172</v>
      </c>
      <c r="B70" s="155" t="s">
        <v>173</v>
      </c>
      <c r="C70" s="155" t="s">
        <v>174</v>
      </c>
      <c r="D70" s="155" t="s">
        <v>175</v>
      </c>
      <c r="E70" s="155" t="s">
        <v>207</v>
      </c>
    </row>
    <row r="71" spans="1:5">
      <c r="A71" s="154" t="s">
        <v>171</v>
      </c>
      <c r="B71" s="5">
        <f>IF(VLOOKUP(B69,$A$9:$L$20,12,FALSE)="","",VLOOKUP(B69,$A$9:$L$20,12,FALSE))</f>
        <v>0</v>
      </c>
      <c r="C71" s="86" t="str">
        <f>IF(OR(B71="",B71=0),"",(VLOOKUP(B69,$A$9:$S$20,19,FALSE)))</f>
        <v/>
      </c>
      <c r="D71" s="86" t="str">
        <f>IF(OR(B71="",B71=0),"",B71*C71)</f>
        <v/>
      </c>
    </row>
    <row r="72" spans="1:5">
      <c r="A72" s="154" t="s">
        <v>176</v>
      </c>
      <c r="B72" s="5">
        <f>IF(VLOOKUP(B69,$A$9:$L$20,10,FALSE)="","",VLOOKUP(B69,$A$9:$L$20,10,FALSE)*$G$5)</f>
        <v>0</v>
      </c>
      <c r="C72" s="86" t="str">
        <f>IF(OR(B72="",B72=0),"",(VLOOKUP(B69,$A$9:$S$20,18,FALSE)))</f>
        <v/>
      </c>
      <c r="D72" s="86" t="str">
        <f>IF(OR(B72="",B72=0),"",B72*C72)</f>
        <v/>
      </c>
    </row>
    <row r="73" spans="1:5">
      <c r="A73" s="154" t="s">
        <v>206</v>
      </c>
      <c r="B73" s="5">
        <f>IF(VLOOKUP(B69,$A$9:$L$20,9,FALSE)="","",VLOOKUP(B69,$A$9:$L$20,9,FALSE)*$G$5)</f>
        <v>0</v>
      </c>
      <c r="C73" s="86" t="str">
        <f>IF(OR(B73="",B73=0),"",(VLOOKUP(B69,$A$9:$S$20,18,FALSE)))</f>
        <v/>
      </c>
      <c r="D73" s="86" t="str">
        <f>IF(OR(B73="",B73=0),"",B73*C73)</f>
        <v/>
      </c>
    </row>
    <row r="74" spans="1:5">
      <c r="A74" s="154" t="s">
        <v>177</v>
      </c>
      <c r="B74" s="4">
        <f>IF(VLOOKUP(B69,$A$9:$L$20,8,FALSE)="","",VLOOKUP(B69,$A$9:$L$20,8,FALSE))</f>
        <v>0</v>
      </c>
      <c r="C74" s="86" t="str">
        <f>IF(OR(B74="",B74=0),"",(VLOOKUP(B69,$A$9:$S$20,17,FALSE)))</f>
        <v/>
      </c>
      <c r="D74" s="86" t="str">
        <f>IF(OR(B74="",B74=0),"",B74*C74)</f>
        <v/>
      </c>
    </row>
    <row r="75" spans="1:5">
      <c r="A75" s="154" t="s">
        <v>178</v>
      </c>
      <c r="B75" s="4">
        <f>IF(VLOOKUP(B69,$A$9:$L$20,5,FALSE)="","",VLOOKUP(B69,$A$9:$L$20,5,FALSE))</f>
        <v>0</v>
      </c>
      <c r="C75" s="86" t="str">
        <f>IF(OR(B75="",B75=0),"",(VLOOKUP(B69,$A$9:$S$20,17,FALSE)/2))</f>
        <v/>
      </c>
      <c r="D75" s="86" t="str">
        <f t="shared" ref="D75:D80" si="5">IF(OR(B75="",B75=0),"",B75*C75)</f>
        <v/>
      </c>
    </row>
    <row r="76" spans="1:5">
      <c r="A76" s="154" t="s">
        <v>179</v>
      </c>
      <c r="B76" s="4">
        <f>IF(VLOOKUP(B69,$A$9:$L$20,6,FALSE)="","",VLOOKUP(B69,$A$9:$L$20,6,FALSE))</f>
        <v>0</v>
      </c>
      <c r="C76" s="86" t="str">
        <f>IF(OR(B76="",B76=0),"",(VLOOKUP(B69,$A$9:$S$20,17,FALSE)/2))</f>
        <v/>
      </c>
      <c r="D76" s="86" t="str">
        <f t="shared" si="5"/>
        <v/>
      </c>
    </row>
    <row r="77" spans="1:5">
      <c r="A77" s="154" t="s">
        <v>180</v>
      </c>
      <c r="B77" s="4">
        <f>IF(VLOOKUP(B69,$A$9:$L$20,7,FALSE)="","",VLOOKUP(B69,$A$9:$L$20,7,FALSE))</f>
        <v>0</v>
      </c>
      <c r="C77" s="86" t="str">
        <f>IF(OR(B77="",B77=0),"",(VLOOKUP(B69,$A$9:$S$20,17,FALSE)))</f>
        <v/>
      </c>
      <c r="D77" s="86" t="str">
        <f t="shared" si="5"/>
        <v/>
      </c>
    </row>
    <row r="78" spans="1:5">
      <c r="A78" s="154" t="s">
        <v>181</v>
      </c>
      <c r="B78" s="5" t="str">
        <f>IF(A69=$M$3,Datenblatt!$B$5*4.33,"")</f>
        <v/>
      </c>
      <c r="C78" s="86" t="str">
        <f>IF(OR(B78="",B78=0),"",(VLOOKUP(B69,$A$9:$S$20,17,FALSE)*1.3))</f>
        <v/>
      </c>
      <c r="D78" s="86" t="str">
        <f t="shared" si="5"/>
        <v/>
      </c>
      <c r="E78" s="5" t="str">
        <f>IF(D78="","","(nicht sicher)")</f>
        <v/>
      </c>
    </row>
    <row r="79" spans="1:5">
      <c r="A79" s="154" t="s">
        <v>182</v>
      </c>
      <c r="B79" s="5" t="str">
        <f>IF(A69=$M$4,Datenblatt!$B$5*4.33,"")</f>
        <v/>
      </c>
      <c r="C79" s="86" t="str">
        <f>IF(OR(B79="",B79=0),"",(VLOOKUP(B69,$A$9:$S$20,17,FALSE)*1.3))</f>
        <v/>
      </c>
      <c r="D79" s="86" t="str">
        <f t="shared" si="5"/>
        <v/>
      </c>
      <c r="E79" s="5" t="str">
        <f>IF(D79="","","(nicht sicher)")</f>
        <v/>
      </c>
    </row>
    <row r="80" spans="1:5">
      <c r="A80" s="154" t="s">
        <v>183</v>
      </c>
      <c r="B80" s="4">
        <f>IF(VLOOKUP(B69,$A$9:$L$20,3,FALSE)="","",VLOOKUP(B69,$A$9:$L$20,3,FALSE)-B72-B73-B74)</f>
        <v>6.67</v>
      </c>
      <c r="C80" s="86">
        <f>IF(OR(B80="",B80=0),"",(VLOOKUP(B69,$A$9:$S$20,17,FALSE)))</f>
        <v>13.57</v>
      </c>
      <c r="D80" s="86">
        <f t="shared" si="5"/>
        <v>90.511899999999997</v>
      </c>
    </row>
    <row r="81" spans="1:5">
      <c r="A81" s="7" t="s">
        <v>184</v>
      </c>
      <c r="B81" s="5"/>
      <c r="C81" s="5"/>
      <c r="D81" s="89">
        <f>SUM(D71:D80)</f>
        <v>90.511899999999997</v>
      </c>
    </row>
    <row r="82" spans="1:5">
      <c r="A82" s="88"/>
      <c r="B82" s="35"/>
      <c r="C82" s="35"/>
      <c r="D82" s="35"/>
    </row>
    <row r="83" spans="1:5">
      <c r="A83" s="154"/>
      <c r="B83" s="5"/>
      <c r="C83" s="5"/>
    </row>
    <row r="84" spans="1:5">
      <c r="A84" s="2">
        <f>A69+1</f>
        <v>5</v>
      </c>
      <c r="B84" s="224" t="str">
        <f>VLOOKUP('Übersicht Monate'!A84,Daten!$Q$2:$R$13,2,FALSE)</f>
        <v>Mai</v>
      </c>
      <c r="C84" s="224"/>
      <c r="D84" s="224"/>
    </row>
    <row r="85" spans="1:5">
      <c r="A85" s="155" t="s">
        <v>172</v>
      </c>
      <c r="B85" s="155" t="s">
        <v>173</v>
      </c>
      <c r="C85" s="155" t="s">
        <v>174</v>
      </c>
      <c r="D85" s="155" t="s">
        <v>175</v>
      </c>
      <c r="E85" s="155" t="s">
        <v>207</v>
      </c>
    </row>
    <row r="86" spans="1:5">
      <c r="A86" s="154" t="s">
        <v>171</v>
      </c>
      <c r="B86" s="5">
        <f>IF(VLOOKUP(B84,$A$9:$L$20,12,FALSE)="","",VLOOKUP(B84,$A$9:$L$20,12,FALSE))</f>
        <v>0</v>
      </c>
      <c r="C86" s="86" t="str">
        <f>IF(OR(B86="",B86=0),"",(VLOOKUP(B84,$A$9:$S$20,19,FALSE)))</f>
        <v/>
      </c>
      <c r="D86" s="86" t="str">
        <f>IF(OR(B86="",B86=0),"",B86*C86)</f>
        <v/>
      </c>
    </row>
    <row r="87" spans="1:5">
      <c r="A87" s="154" t="s">
        <v>176</v>
      </c>
      <c r="B87" s="5">
        <f>IF(VLOOKUP(B84,$A$9:$L$20,10,FALSE)="","",VLOOKUP(B84,$A$9:$L$20,10,FALSE)*$G$5)</f>
        <v>0</v>
      </c>
      <c r="C87" s="86" t="str">
        <f>IF(OR(B87="",B87=0),"",(VLOOKUP(B84,$A$9:$S$20,18,FALSE)))</f>
        <v/>
      </c>
      <c r="D87" s="86" t="str">
        <f>IF(OR(B87="",B87=0),"",B87*C87)</f>
        <v/>
      </c>
    </row>
    <row r="88" spans="1:5">
      <c r="A88" s="154" t="s">
        <v>206</v>
      </c>
      <c r="B88" s="5">
        <f>IF(VLOOKUP(B84,$A$9:$L$20,9,FALSE)="","",VLOOKUP(B84,$A$9:$L$20,9,FALSE)*$G$5)</f>
        <v>0</v>
      </c>
      <c r="C88" s="86" t="str">
        <f>IF(OR(B88="",B88=0),"",(VLOOKUP(B84,$A$9:$S$20,18,FALSE)))</f>
        <v/>
      </c>
      <c r="D88" s="86" t="str">
        <f>IF(OR(B88="",B88=0),"",B88*C88)</f>
        <v/>
      </c>
    </row>
    <row r="89" spans="1:5">
      <c r="A89" s="154" t="s">
        <v>177</v>
      </c>
      <c r="B89" s="4">
        <f>IF(VLOOKUP(B84,$A$9:$L$20,8,FALSE)="","",VLOOKUP(B84,$A$9:$L$20,8,FALSE))</f>
        <v>0</v>
      </c>
      <c r="C89" s="86" t="str">
        <f>IF(OR(B89="",B89=0),"",(VLOOKUP(B84,$A$9:$S$20,17,FALSE)))</f>
        <v/>
      </c>
      <c r="D89" s="86" t="str">
        <f>IF(OR(B89="",B89=0),"",B89*C89)</f>
        <v/>
      </c>
    </row>
    <row r="90" spans="1:5">
      <c r="A90" s="154" t="s">
        <v>178</v>
      </c>
      <c r="B90" s="4">
        <f>IF(VLOOKUP(B84,$A$9:$L$20,5,FALSE)="","",VLOOKUP(B84,$A$9:$L$20,5,FALSE))</f>
        <v>0</v>
      </c>
      <c r="C90" s="86" t="str">
        <f>IF(OR(B90="",B90=0),"",(VLOOKUP(B84,$A$9:$S$20,17,FALSE)/2))</f>
        <v/>
      </c>
      <c r="D90" s="86" t="str">
        <f t="shared" ref="D90:D95" si="6">IF(OR(B90="",B90=0),"",B90*C90)</f>
        <v/>
      </c>
    </row>
    <row r="91" spans="1:5">
      <c r="A91" s="154" t="s">
        <v>179</v>
      </c>
      <c r="B91" s="4">
        <f>IF(VLOOKUP(B84,$A$9:$L$20,6,FALSE)="","",VLOOKUP(B84,$A$9:$L$20,6,FALSE))</f>
        <v>0</v>
      </c>
      <c r="C91" s="86" t="str">
        <f>IF(OR(B91="",B91=0),"",(VLOOKUP(B84,$A$9:$S$20,17,FALSE)/2))</f>
        <v/>
      </c>
      <c r="D91" s="86" t="str">
        <f t="shared" si="6"/>
        <v/>
      </c>
    </row>
    <row r="92" spans="1:5">
      <c r="A92" s="154" t="s">
        <v>180</v>
      </c>
      <c r="B92" s="4">
        <f>IF(VLOOKUP(B84,$A$9:$L$20,7,FALSE)="","",VLOOKUP(B84,$A$9:$L$20,7,FALSE))</f>
        <v>0</v>
      </c>
      <c r="C92" s="86" t="str">
        <f>IF(OR(B92="",B92=0),"",(VLOOKUP(B84,$A$9:$S$20,17,FALSE)))</f>
        <v/>
      </c>
      <c r="D92" s="86" t="str">
        <f t="shared" si="6"/>
        <v/>
      </c>
    </row>
    <row r="93" spans="1:5">
      <c r="A93" s="154" t="s">
        <v>181</v>
      </c>
      <c r="B93" s="5">
        <f>IF(A84=$M$3,Datenblatt!$B$5*4.33,"")</f>
        <v>173.2</v>
      </c>
      <c r="C93" s="86">
        <f>IF(OR(B93="",B93=0),"",(VLOOKUP(B84,$A$9:$S$20,17,FALSE)*1.3))</f>
        <v>17.641000000000002</v>
      </c>
      <c r="D93" s="86">
        <f t="shared" si="6"/>
        <v>3055.4212000000002</v>
      </c>
      <c r="E93" s="5" t="str">
        <f>IF(D93="","","(nicht sicher)")</f>
        <v>(nicht sicher)</v>
      </c>
    </row>
    <row r="94" spans="1:5">
      <c r="A94" s="154" t="s">
        <v>182</v>
      </c>
      <c r="B94" s="5" t="str">
        <f>IF(A84=$M$4,Datenblatt!$B$5*4.33,"")</f>
        <v/>
      </c>
      <c r="C94" s="86" t="str">
        <f>IF(OR(B94="",B94=0),"",(VLOOKUP(B84,$A$9:$S$20,17,FALSE)*1.3))</f>
        <v/>
      </c>
      <c r="D94" s="86" t="str">
        <f t="shared" si="6"/>
        <v/>
      </c>
      <c r="E94" s="5" t="str">
        <f>IF(D94="","","(nicht sicher)")</f>
        <v/>
      </c>
    </row>
    <row r="95" spans="1:5">
      <c r="A95" s="154" t="s">
        <v>183</v>
      </c>
      <c r="B95" s="4">
        <f>IF(VLOOKUP(B84,$A$9:$L$20,3,FALSE)="","",VLOOKUP(B84,$A$9:$L$20,3,FALSE)-B87-B88-B89)</f>
        <v>6.67</v>
      </c>
      <c r="C95" s="86">
        <f>IF(OR(B95="",B95=0),"",(VLOOKUP(B84,$A$9:$S$20,17,FALSE)))</f>
        <v>13.57</v>
      </c>
      <c r="D95" s="86">
        <f t="shared" si="6"/>
        <v>90.511899999999997</v>
      </c>
    </row>
    <row r="96" spans="1:5">
      <c r="A96" s="7" t="s">
        <v>184</v>
      </c>
      <c r="B96" s="5"/>
      <c r="C96" s="5"/>
      <c r="D96" s="89">
        <f>SUM(D86:D95)</f>
        <v>3145.9331000000002</v>
      </c>
    </row>
    <row r="97" spans="1:5">
      <c r="A97" s="88"/>
      <c r="B97" s="35"/>
      <c r="C97" s="35"/>
      <c r="D97" s="35"/>
    </row>
    <row r="98" spans="1:5">
      <c r="A98" s="154"/>
      <c r="B98" s="5"/>
      <c r="C98" s="5"/>
    </row>
    <row r="99" spans="1:5">
      <c r="A99" s="2">
        <f>A84+1</f>
        <v>6</v>
      </c>
      <c r="B99" s="224" t="str">
        <f>VLOOKUP('Übersicht Monate'!A99,Daten!$Q$2:$R$13,2,FALSE)</f>
        <v>Juni</v>
      </c>
      <c r="C99" s="224"/>
      <c r="D99" s="224"/>
    </row>
    <row r="100" spans="1:5">
      <c r="A100" s="155" t="s">
        <v>172</v>
      </c>
      <c r="B100" s="155" t="s">
        <v>173</v>
      </c>
      <c r="C100" s="155" t="s">
        <v>174</v>
      </c>
      <c r="D100" s="155" t="s">
        <v>175</v>
      </c>
      <c r="E100" s="155" t="s">
        <v>207</v>
      </c>
    </row>
    <row r="101" spans="1:5">
      <c r="A101" s="154" t="s">
        <v>171</v>
      </c>
      <c r="B101" s="5">
        <f>IF(VLOOKUP(B99,$A$9:$L$20,12,FALSE)="","",VLOOKUP(B99,$A$9:$L$20,12,FALSE))</f>
        <v>0</v>
      </c>
      <c r="C101" s="86" t="str">
        <f>IF(OR(B101="",B101=0),"",(VLOOKUP(B99,$A$9:$S$20,19,FALSE)))</f>
        <v/>
      </c>
      <c r="D101" s="86" t="str">
        <f>IF(OR(B101="",B101=0),"",B101*C101)</f>
        <v/>
      </c>
    </row>
    <row r="102" spans="1:5">
      <c r="A102" s="154" t="s">
        <v>176</v>
      </c>
      <c r="B102" s="5">
        <f>IF(VLOOKUP(B99,$A$9:$L$20,10,FALSE)="","",VLOOKUP(B99,$A$9:$L$20,10,FALSE)*$G$5)</f>
        <v>0</v>
      </c>
      <c r="C102" s="86" t="str">
        <f>IF(OR(B102="",B102=0),"",(VLOOKUP(B99,$A$9:$S$20,18,FALSE)))</f>
        <v/>
      </c>
      <c r="D102" s="86" t="str">
        <f>IF(OR(B102="",B102=0),"",B102*C102)</f>
        <v/>
      </c>
    </row>
    <row r="103" spans="1:5">
      <c r="A103" s="154" t="s">
        <v>206</v>
      </c>
      <c r="B103" s="5">
        <f>IF(VLOOKUP(B99,$A$9:$L$20,9,FALSE)="","",VLOOKUP(B99,$A$9:$L$20,9,FALSE)*$G$5)</f>
        <v>0</v>
      </c>
      <c r="C103" s="86" t="str">
        <f>IF(OR(B103="",B103=0),"",(VLOOKUP(B99,$A$9:$S$20,18,FALSE)))</f>
        <v/>
      </c>
      <c r="D103" s="86" t="str">
        <f>IF(OR(B103="",B103=0),"",B103*C103)</f>
        <v/>
      </c>
    </row>
    <row r="104" spans="1:5">
      <c r="A104" s="154" t="s">
        <v>177</v>
      </c>
      <c r="B104" s="4">
        <f>IF(VLOOKUP(B99,$A$9:$L$20,8,FALSE)="","",VLOOKUP(B99,$A$9:$L$20,8,FALSE))</f>
        <v>0</v>
      </c>
      <c r="C104" s="86" t="str">
        <f>IF(OR(B104="",B104=0),"",(VLOOKUP(B99,$A$9:$S$20,17,FALSE)))</f>
        <v/>
      </c>
      <c r="D104" s="86" t="str">
        <f>IF(OR(B104="",B104=0),"",B104*C104)</f>
        <v/>
      </c>
    </row>
    <row r="105" spans="1:5">
      <c r="A105" s="154" t="s">
        <v>178</v>
      </c>
      <c r="B105" s="4">
        <f>IF(VLOOKUP(B99,$A$9:$L$20,5,FALSE)="","",VLOOKUP(B99,$A$9:$L$20,5,FALSE))</f>
        <v>0</v>
      </c>
      <c r="C105" s="86" t="str">
        <f>IF(OR(B105="",B105=0),"",(VLOOKUP(B99,$A$9:$S$20,17,FALSE)/2))</f>
        <v/>
      </c>
      <c r="D105" s="86" t="str">
        <f t="shared" ref="D105:D110" si="7">IF(OR(B105="",B105=0),"",B105*C105)</f>
        <v/>
      </c>
    </row>
    <row r="106" spans="1:5">
      <c r="A106" s="154" t="s">
        <v>179</v>
      </c>
      <c r="B106" s="4">
        <f>IF(VLOOKUP(B99,$A$9:$L$20,6,FALSE)="","",VLOOKUP(B99,$A$9:$L$20,6,FALSE))</f>
        <v>0</v>
      </c>
      <c r="C106" s="86" t="str">
        <f>IF(OR(B106="",B106=0),"",(VLOOKUP(B99,$A$9:$S$20,17,FALSE)/2))</f>
        <v/>
      </c>
      <c r="D106" s="86" t="str">
        <f t="shared" si="7"/>
        <v/>
      </c>
    </row>
    <row r="107" spans="1:5">
      <c r="A107" s="154" t="s">
        <v>180</v>
      </c>
      <c r="B107" s="4">
        <f>IF(VLOOKUP(B99,$A$9:$L$20,7,FALSE)="","",VLOOKUP(B99,$A$9:$L$20,7,FALSE))</f>
        <v>0</v>
      </c>
      <c r="C107" s="86" t="str">
        <f>IF(OR(B107="",B107=0),"",(VLOOKUP(B99,$A$9:$S$20,17,FALSE)))</f>
        <v/>
      </c>
      <c r="D107" s="86" t="str">
        <f t="shared" si="7"/>
        <v/>
      </c>
    </row>
    <row r="108" spans="1:5">
      <c r="A108" s="154" t="s">
        <v>181</v>
      </c>
      <c r="B108" s="5" t="str">
        <f>IF(A99=$M$3,Datenblatt!$B$5*4.33,"")</f>
        <v/>
      </c>
      <c r="C108" s="86" t="str">
        <f>IF(OR(B108="",B108=0),"",(VLOOKUP(B99,$A$9:$S$20,17,FALSE)*1.3))</f>
        <v/>
      </c>
      <c r="D108" s="86" t="str">
        <f t="shared" si="7"/>
        <v/>
      </c>
      <c r="E108" s="5" t="str">
        <f>IF(D108="","","(nicht sicher)")</f>
        <v/>
      </c>
    </row>
    <row r="109" spans="1:5">
      <c r="A109" s="154" t="s">
        <v>182</v>
      </c>
      <c r="B109" s="5" t="str">
        <f>IF(A99=$M$4,Datenblatt!$B$5*4.33,"")</f>
        <v/>
      </c>
      <c r="C109" s="86" t="str">
        <f>IF(OR(B109="",B109=0),"",(VLOOKUP(B99,$A$9:$S$20,17,FALSE)*1.3))</f>
        <v/>
      </c>
      <c r="D109" s="86" t="str">
        <f t="shared" si="7"/>
        <v/>
      </c>
      <c r="E109" s="5" t="str">
        <f>IF(D109="","","(nicht sicher)")</f>
        <v/>
      </c>
    </row>
    <row r="110" spans="1:5">
      <c r="A110" s="154" t="s">
        <v>183</v>
      </c>
      <c r="B110" s="4">
        <f>IF(VLOOKUP(B99,$A$9:$L$20,3,FALSE)="","",VLOOKUP(B99,$A$9:$L$20,3,FALSE)-B102-B103-B104)</f>
        <v>13.34</v>
      </c>
      <c r="C110" s="86">
        <f>IF(OR(B110="",B110=0),"",(VLOOKUP(B99,$A$9:$S$20,17,FALSE)))</f>
        <v>13.57</v>
      </c>
      <c r="D110" s="86">
        <f t="shared" si="7"/>
        <v>181.02379999999999</v>
      </c>
    </row>
    <row r="111" spans="1:5">
      <c r="A111" s="7" t="s">
        <v>184</v>
      </c>
      <c r="B111" s="5"/>
      <c r="C111" s="5"/>
      <c r="D111" s="89">
        <f>SUM(D101:D110)</f>
        <v>181.02379999999999</v>
      </c>
    </row>
    <row r="112" spans="1:5">
      <c r="A112" s="88"/>
      <c r="B112" s="35"/>
      <c r="C112" s="35"/>
      <c r="D112" s="35"/>
    </row>
    <row r="113" spans="1:5">
      <c r="A113" s="154"/>
      <c r="B113" s="5"/>
      <c r="C113" s="5"/>
    </row>
    <row r="114" spans="1:5">
      <c r="A114" s="2">
        <f>A99+1</f>
        <v>7</v>
      </c>
      <c r="B114" s="224" t="str">
        <f>VLOOKUP('Übersicht Monate'!A114,Daten!$Q$2:$R$13,2,FALSE)</f>
        <v>Juli</v>
      </c>
      <c r="C114" s="224"/>
      <c r="D114" s="224"/>
    </row>
    <row r="115" spans="1:5">
      <c r="A115" s="155" t="s">
        <v>172</v>
      </c>
      <c r="B115" s="155" t="s">
        <v>173</v>
      </c>
      <c r="C115" s="155" t="s">
        <v>174</v>
      </c>
      <c r="D115" s="155" t="s">
        <v>175</v>
      </c>
      <c r="E115" s="155" t="s">
        <v>207</v>
      </c>
    </row>
    <row r="116" spans="1:5">
      <c r="A116" s="154" t="s">
        <v>171</v>
      </c>
      <c r="B116" s="5">
        <f>IF(VLOOKUP(B114,$A$9:$L$20,12,FALSE)="","",VLOOKUP(B114,$A$9:$L$20,12,FALSE))</f>
        <v>0</v>
      </c>
      <c r="C116" s="86" t="str">
        <f>IF(OR(B116="",B116=0),"",(VLOOKUP(B114,$A$9:$S$20,19,FALSE)))</f>
        <v/>
      </c>
      <c r="D116" s="86" t="str">
        <f>IF(OR(B116="",B116=0),"",B116*C116)</f>
        <v/>
      </c>
    </row>
    <row r="117" spans="1:5">
      <c r="A117" s="154" t="s">
        <v>176</v>
      </c>
      <c r="B117" s="5">
        <f>IF(VLOOKUP(B114,$A$9:$L$20,10,FALSE)="","",VLOOKUP(B114,$A$9:$L$20,10,FALSE)*$G$5)</f>
        <v>0</v>
      </c>
      <c r="C117" s="86" t="str">
        <f>IF(OR(B117="",B117=0),"",(VLOOKUP(B114,$A$9:$S$20,18,FALSE)))</f>
        <v/>
      </c>
      <c r="D117" s="86" t="str">
        <f>IF(OR(B117="",B117=0),"",B117*C117)</f>
        <v/>
      </c>
    </row>
    <row r="118" spans="1:5">
      <c r="A118" s="154" t="s">
        <v>206</v>
      </c>
      <c r="B118" s="5">
        <f>IF(VLOOKUP(B114,$A$9:$L$20,9,FALSE)="","",VLOOKUP(B114,$A$9:$L$20,9,FALSE)*$G$5)</f>
        <v>0</v>
      </c>
      <c r="C118" s="86" t="str">
        <f>IF(OR(B118="",B118=0),"",(VLOOKUP(B114,$A$9:$S$20,18,FALSE)))</f>
        <v/>
      </c>
      <c r="D118" s="86" t="str">
        <f>IF(OR(B118="",B118=0),"",B118*C118)</f>
        <v/>
      </c>
    </row>
    <row r="119" spans="1:5">
      <c r="A119" s="154" t="s">
        <v>177</v>
      </c>
      <c r="B119" s="4">
        <f>IF(VLOOKUP(B114,$A$9:$L$20,8,FALSE)="","",VLOOKUP(B114,$A$9:$L$20,8,FALSE))</f>
        <v>0</v>
      </c>
      <c r="C119" s="86" t="str">
        <f>IF(OR(B119="",B119=0),"",(VLOOKUP(B114,$A$9:$S$20,17,FALSE)))</f>
        <v/>
      </c>
      <c r="D119" s="86" t="str">
        <f>IF(OR(B119="",B119=0),"",B119*C119)</f>
        <v/>
      </c>
    </row>
    <row r="120" spans="1:5">
      <c r="A120" s="154" t="s">
        <v>178</v>
      </c>
      <c r="B120" s="4">
        <f>IF(VLOOKUP(B114,$A$9:$L$20,5,FALSE)="","",VLOOKUP(B114,$A$9:$L$20,5,FALSE))</f>
        <v>0</v>
      </c>
      <c r="C120" s="86" t="str">
        <f>IF(OR(B120="",B120=0),"",(VLOOKUP(B114,$A$9:$S$20,17,FALSE)/2))</f>
        <v/>
      </c>
      <c r="D120" s="86" t="str">
        <f t="shared" ref="D120:D125" si="8">IF(OR(B120="",B120=0),"",B120*C120)</f>
        <v/>
      </c>
    </row>
    <row r="121" spans="1:5">
      <c r="A121" s="154" t="s">
        <v>179</v>
      </c>
      <c r="B121" s="4">
        <f>IF(VLOOKUP(B114,$A$9:$L$20,6,FALSE)="","",VLOOKUP(B114,$A$9:$L$20,6,FALSE))</f>
        <v>0</v>
      </c>
      <c r="C121" s="86" t="str">
        <f>IF(OR(B121="",B121=0),"",(VLOOKUP(B114,$A$9:$S$20,17,FALSE)/2))</f>
        <v/>
      </c>
      <c r="D121" s="86" t="str">
        <f t="shared" si="8"/>
        <v/>
      </c>
    </row>
    <row r="122" spans="1:5">
      <c r="A122" s="154" t="s">
        <v>180</v>
      </c>
      <c r="B122" s="4">
        <f>IF(VLOOKUP(B114,$A$9:$L$20,7,FALSE)="","",VLOOKUP(B114,$A$9:$L$20,7,FALSE))</f>
        <v>0</v>
      </c>
      <c r="C122" s="86" t="str">
        <f>IF(OR(B122="",B122=0),"",(VLOOKUP(B114,$A$9:$S$20,17,FALSE)))</f>
        <v/>
      </c>
      <c r="D122" s="86" t="str">
        <f t="shared" si="8"/>
        <v/>
      </c>
    </row>
    <row r="123" spans="1:5">
      <c r="A123" s="154" t="s">
        <v>181</v>
      </c>
      <c r="B123" s="5" t="str">
        <f>IF(A114=$M$3,Datenblatt!$B$5*4.33,"")</f>
        <v/>
      </c>
      <c r="C123" s="86" t="str">
        <f>IF(OR(B123="",B123=0),"",(VLOOKUP(B114,$A$9:$S$20,17,FALSE)*1.3))</f>
        <v/>
      </c>
      <c r="D123" s="86" t="str">
        <f t="shared" si="8"/>
        <v/>
      </c>
      <c r="E123" s="5" t="str">
        <f>IF(D123="","","(nicht sicher)")</f>
        <v/>
      </c>
    </row>
    <row r="124" spans="1:5">
      <c r="A124" s="154" t="s">
        <v>182</v>
      </c>
      <c r="B124" s="5" t="str">
        <f>IF(A114=$M$4,Datenblatt!$B$5*4.33,"")</f>
        <v/>
      </c>
      <c r="C124" s="86" t="str">
        <f>IF(OR(B124="",B124=0),"",(VLOOKUP(B114,$A$9:$S$20,17,FALSE)*1.3))</f>
        <v/>
      </c>
      <c r="D124" s="86" t="str">
        <f t="shared" si="8"/>
        <v/>
      </c>
      <c r="E124" s="5" t="str">
        <f>IF(D124="","","(nicht sicher)")</f>
        <v/>
      </c>
    </row>
    <row r="125" spans="1:5">
      <c r="A125" s="154" t="s">
        <v>183</v>
      </c>
      <c r="B125" s="4">
        <f>IF(VLOOKUP(B114,$A$9:$L$20,3,FALSE)="","",VLOOKUP(B114,$A$9:$L$20,3,FALSE)-B117-B118-B119)</f>
        <v>0</v>
      </c>
      <c r="C125" s="86" t="str">
        <f>IF(OR(B125="",B125=0),"",(VLOOKUP(B114,$A$9:$S$20,17,FALSE)))</f>
        <v/>
      </c>
      <c r="D125" s="86" t="str">
        <f t="shared" si="8"/>
        <v/>
      </c>
    </row>
    <row r="126" spans="1:5">
      <c r="A126" s="7" t="s">
        <v>184</v>
      </c>
      <c r="B126" s="5"/>
      <c r="C126" s="5"/>
      <c r="D126" s="89">
        <f>SUM(D116:D125)</f>
        <v>0</v>
      </c>
    </row>
    <row r="127" spans="1:5">
      <c r="A127" s="88"/>
      <c r="B127" s="35"/>
      <c r="C127" s="35"/>
      <c r="D127" s="35"/>
    </row>
    <row r="128" spans="1:5">
      <c r="A128" s="154"/>
      <c r="B128" s="5"/>
      <c r="C128" s="5"/>
    </row>
    <row r="129" spans="1:5">
      <c r="A129" s="2">
        <f>A114+1</f>
        <v>8</v>
      </c>
      <c r="B129" s="224" t="str">
        <f>VLOOKUP('Übersicht Monate'!A129,Daten!$Q$2:$R$13,2,FALSE)</f>
        <v>August</v>
      </c>
      <c r="C129" s="224"/>
      <c r="D129" s="224"/>
    </row>
    <row r="130" spans="1:5">
      <c r="A130" s="155" t="s">
        <v>172</v>
      </c>
      <c r="B130" s="155" t="s">
        <v>173</v>
      </c>
      <c r="C130" s="155" t="s">
        <v>174</v>
      </c>
      <c r="D130" s="155" t="s">
        <v>175</v>
      </c>
      <c r="E130" s="155" t="s">
        <v>207</v>
      </c>
    </row>
    <row r="131" spans="1:5">
      <c r="A131" s="154" t="s">
        <v>171</v>
      </c>
      <c r="B131" s="5">
        <f>IF(VLOOKUP(B129,$A$9:$L$20,12,FALSE)="","",VLOOKUP(B129,$A$9:$L$20,12,FALSE))</f>
        <v>0</v>
      </c>
      <c r="C131" s="86" t="str">
        <f>IF(OR(B131="",B131=0),"",(VLOOKUP(B129,$A$9:$S$20,19,FALSE)))</f>
        <v/>
      </c>
      <c r="D131" s="86" t="str">
        <f>IF(OR(B131="",B131=0),"",B131*C131)</f>
        <v/>
      </c>
    </row>
    <row r="132" spans="1:5">
      <c r="A132" s="154" t="s">
        <v>176</v>
      </c>
      <c r="B132" s="5">
        <f>IF(VLOOKUP(B129,$A$9:$L$20,10,FALSE)="","",VLOOKUP(B129,$A$9:$L$20,10,FALSE)*$G$5)</f>
        <v>0</v>
      </c>
      <c r="C132" s="86" t="str">
        <f>IF(OR(B132="",B132=0),"",(VLOOKUP(B129,$A$9:$S$20,18,FALSE)))</f>
        <v/>
      </c>
      <c r="D132" s="86" t="str">
        <f>IF(OR(B132="",B132=0),"",B132*C132)</f>
        <v/>
      </c>
    </row>
    <row r="133" spans="1:5">
      <c r="A133" s="154" t="s">
        <v>206</v>
      </c>
      <c r="B133" s="5">
        <f>IF(VLOOKUP(B129,$A$9:$L$20,9,FALSE)="","",VLOOKUP(B129,$A$9:$L$20,9,FALSE)*$G$5)</f>
        <v>0</v>
      </c>
      <c r="C133" s="86" t="str">
        <f>IF(OR(B133="",B133=0),"",(VLOOKUP(B129,$A$9:$S$20,18,FALSE)))</f>
        <v/>
      </c>
      <c r="D133" s="86" t="str">
        <f>IF(OR(B133="",B133=0),"",B133*C133)</f>
        <v/>
      </c>
    </row>
    <row r="134" spans="1:5">
      <c r="A134" s="154" t="s">
        <v>177</v>
      </c>
      <c r="B134" s="4">
        <f>IF(VLOOKUP(B129,$A$9:$L$20,8,FALSE)="","",VLOOKUP(B129,$A$9:$L$20,8,FALSE))</f>
        <v>0</v>
      </c>
      <c r="C134" s="86" t="str">
        <f>IF(OR(B134="",B134=0),"",(VLOOKUP(B129,$A$9:$S$20,17,FALSE)))</f>
        <v/>
      </c>
      <c r="D134" s="86" t="str">
        <f>IF(OR(B134="",B134=0),"",B134*C134)</f>
        <v/>
      </c>
    </row>
    <row r="135" spans="1:5">
      <c r="A135" s="154" t="s">
        <v>178</v>
      </c>
      <c r="B135" s="4">
        <f>IF(VLOOKUP(B129,$A$9:$L$20,5,FALSE)="","",VLOOKUP(B129,$A$9:$L$20,5,FALSE))</f>
        <v>0</v>
      </c>
      <c r="C135" s="86" t="str">
        <f>IF(OR(B135="",B135=0),"",(VLOOKUP(B129,$A$9:$S$20,17,FALSE)/2))</f>
        <v/>
      </c>
      <c r="D135" s="86" t="str">
        <f t="shared" ref="D135:D140" si="9">IF(OR(B135="",B135=0),"",B135*C135)</f>
        <v/>
      </c>
    </row>
    <row r="136" spans="1:5">
      <c r="A136" s="154" t="s">
        <v>179</v>
      </c>
      <c r="B136" s="4">
        <f>IF(VLOOKUP(B129,$A$9:$L$20,6,FALSE)="","",VLOOKUP(B129,$A$9:$L$20,6,FALSE))</f>
        <v>0</v>
      </c>
      <c r="C136" s="86" t="str">
        <f>IF(OR(B136="",B136=0),"",(VLOOKUP(B129,$A$9:$S$20,17,FALSE)/2))</f>
        <v/>
      </c>
      <c r="D136" s="86" t="str">
        <f t="shared" si="9"/>
        <v/>
      </c>
    </row>
    <row r="137" spans="1:5">
      <c r="A137" s="154" t="s">
        <v>180</v>
      </c>
      <c r="B137" s="4">
        <f>IF(VLOOKUP(B129,$A$9:$L$20,7,FALSE)="","",VLOOKUP(B129,$A$9:$L$20,7,FALSE))</f>
        <v>0</v>
      </c>
      <c r="C137" s="86" t="str">
        <f>IF(OR(B137="",B137=0),"",(VLOOKUP(B129,$A$9:$S$20,17,FALSE)))</f>
        <v/>
      </c>
      <c r="D137" s="86" t="str">
        <f t="shared" si="9"/>
        <v/>
      </c>
    </row>
    <row r="138" spans="1:5">
      <c r="A138" s="154" t="s">
        <v>181</v>
      </c>
      <c r="B138" s="5" t="str">
        <f>IF(A129=$M$3,Datenblatt!$B$5*4.33,"")</f>
        <v/>
      </c>
      <c r="C138" s="86" t="str">
        <f>IF(OR(B138="",B138=0),"",(VLOOKUP(B129,$A$9:$S$20,17,FALSE)*1.3))</f>
        <v/>
      </c>
      <c r="D138" s="86" t="str">
        <f t="shared" si="9"/>
        <v/>
      </c>
      <c r="E138" s="5" t="str">
        <f>IF(D138="","","(nicht sicher)")</f>
        <v/>
      </c>
    </row>
    <row r="139" spans="1:5">
      <c r="A139" s="154" t="s">
        <v>182</v>
      </c>
      <c r="B139" s="5" t="str">
        <f>IF(A129=$M$4,Datenblatt!$B$5*4.33,"")</f>
        <v/>
      </c>
      <c r="C139" s="86" t="str">
        <f>IF(OR(B139="",B139=0),"",(VLOOKUP(B129,$A$9:$S$20,17,FALSE)*1.3))</f>
        <v/>
      </c>
      <c r="D139" s="86" t="str">
        <f t="shared" si="9"/>
        <v/>
      </c>
      <c r="E139" s="5" t="str">
        <f>IF(D139="","","(nicht sicher)")</f>
        <v/>
      </c>
    </row>
    <row r="140" spans="1:5">
      <c r="A140" s="154" t="s">
        <v>183</v>
      </c>
      <c r="B140" s="4">
        <f>IF(VLOOKUP(B129,$A$9:$L$20,3,FALSE)="","",VLOOKUP(B129,$A$9:$L$20,3,FALSE)-B132-B133-B134)</f>
        <v>6.67</v>
      </c>
      <c r="C140" s="86">
        <f>IF(OR(B140="",B140=0),"",(VLOOKUP(B129,$A$9:$S$20,17,FALSE)))</f>
        <v>13.57</v>
      </c>
      <c r="D140" s="86">
        <f t="shared" si="9"/>
        <v>90.511899999999997</v>
      </c>
    </row>
    <row r="141" spans="1:5">
      <c r="A141" s="7" t="s">
        <v>184</v>
      </c>
      <c r="B141" s="5"/>
      <c r="C141" s="5"/>
      <c r="D141" s="89">
        <f>SUM(D131:D140)</f>
        <v>90.511899999999997</v>
      </c>
    </row>
    <row r="142" spans="1:5">
      <c r="A142" s="88"/>
      <c r="B142" s="35"/>
      <c r="C142" s="35"/>
      <c r="D142" s="35"/>
    </row>
    <row r="143" spans="1:5">
      <c r="A143" s="154"/>
      <c r="B143" s="5"/>
      <c r="C143" s="5"/>
    </row>
    <row r="144" spans="1:5">
      <c r="A144" s="2">
        <f>A129+1</f>
        <v>9</v>
      </c>
      <c r="B144" s="224" t="str">
        <f>VLOOKUP('Übersicht Monate'!A144,Daten!$Q$2:$R$13,2,FALSE)</f>
        <v>September</v>
      </c>
      <c r="C144" s="224"/>
      <c r="D144" s="224"/>
    </row>
    <row r="145" spans="1:5">
      <c r="A145" s="155" t="s">
        <v>172</v>
      </c>
      <c r="B145" s="155" t="s">
        <v>173</v>
      </c>
      <c r="C145" s="155" t="s">
        <v>174</v>
      </c>
      <c r="D145" s="155" t="s">
        <v>175</v>
      </c>
      <c r="E145" s="155" t="s">
        <v>207</v>
      </c>
    </row>
    <row r="146" spans="1:5">
      <c r="A146" s="154" t="s">
        <v>171</v>
      </c>
      <c r="B146" s="5">
        <f>IF(VLOOKUP(B144,$A$9:$L$20,12,FALSE)="","",VLOOKUP(B144,$A$9:$L$20,12,FALSE))</f>
        <v>0</v>
      </c>
      <c r="C146" s="86" t="str">
        <f>IF(OR(B146="",B146=0),"",(VLOOKUP(B144,$A$9:$S$20,19,FALSE)))</f>
        <v/>
      </c>
      <c r="D146" s="86" t="str">
        <f>IF(OR(B146="",B146=0),"",B146*C146)</f>
        <v/>
      </c>
    </row>
    <row r="147" spans="1:5">
      <c r="A147" s="154" t="s">
        <v>176</v>
      </c>
      <c r="B147" s="5">
        <f>IF(VLOOKUP(B144,$A$9:$L$20,10,FALSE)="","",VLOOKUP(B144,$A$9:$L$20,10,FALSE)*$G$5)</f>
        <v>0</v>
      </c>
      <c r="C147" s="86" t="str">
        <f>IF(OR(B147="",B147=0),"",(VLOOKUP(B144,$A$9:$S$20,18,FALSE)))</f>
        <v/>
      </c>
      <c r="D147" s="86" t="str">
        <f>IF(OR(B147="",B147=0),"",B147*C147)</f>
        <v/>
      </c>
    </row>
    <row r="148" spans="1:5">
      <c r="A148" s="154" t="s">
        <v>206</v>
      </c>
      <c r="B148" s="5">
        <f>IF(VLOOKUP(B144,$A$9:$L$20,9,FALSE)="","",VLOOKUP(B144,$A$9:$L$20,9,FALSE)*$G$5)</f>
        <v>0</v>
      </c>
      <c r="C148" s="86" t="str">
        <f>IF(OR(B148="",B148=0),"",(VLOOKUP(B144,$A$9:$S$20,18,FALSE)))</f>
        <v/>
      </c>
      <c r="D148" s="86" t="str">
        <f>IF(OR(B148="",B148=0),"",B148*C148)</f>
        <v/>
      </c>
    </row>
    <row r="149" spans="1:5">
      <c r="A149" s="154" t="s">
        <v>177</v>
      </c>
      <c r="B149" s="4">
        <f>IF(VLOOKUP(B144,$A$9:$L$20,8,FALSE)="","",VLOOKUP(B144,$A$9:$L$20,8,FALSE))</f>
        <v>0</v>
      </c>
      <c r="C149" s="86" t="str">
        <f>IF(OR(B149="",B149=0),"",(VLOOKUP(B144,$A$9:$S$20,17,FALSE)))</f>
        <v/>
      </c>
      <c r="D149" s="86" t="str">
        <f>IF(OR(B149="",B149=0),"",B149*C149)</f>
        <v/>
      </c>
    </row>
    <row r="150" spans="1:5">
      <c r="A150" s="154" t="s">
        <v>178</v>
      </c>
      <c r="B150" s="4">
        <f>IF(VLOOKUP(B144,$A$9:$L$20,5,FALSE)="","",VLOOKUP(B144,$A$9:$L$20,5,FALSE))</f>
        <v>0</v>
      </c>
      <c r="C150" s="86" t="str">
        <f>IF(OR(B150="",B150=0),"",(VLOOKUP(B144,$A$9:$S$20,17,FALSE)/2))</f>
        <v/>
      </c>
      <c r="D150" s="86" t="str">
        <f t="shared" ref="D150:D155" si="10">IF(OR(B150="",B150=0),"",B150*C150)</f>
        <v/>
      </c>
    </row>
    <row r="151" spans="1:5">
      <c r="A151" s="154" t="s">
        <v>179</v>
      </c>
      <c r="B151" s="4">
        <f>IF(VLOOKUP(B144,$A$9:$L$20,6,FALSE)="","",VLOOKUP(B144,$A$9:$L$20,6,FALSE))</f>
        <v>0</v>
      </c>
      <c r="C151" s="86" t="str">
        <f>IF(OR(B151="",B151=0),"",(VLOOKUP(B144,$A$9:$S$20,17,FALSE)/2))</f>
        <v/>
      </c>
      <c r="D151" s="86" t="str">
        <f t="shared" si="10"/>
        <v/>
      </c>
    </row>
    <row r="152" spans="1:5">
      <c r="A152" s="154" t="s">
        <v>180</v>
      </c>
      <c r="B152" s="4">
        <f>IF(VLOOKUP(B144,$A$9:$L$20,7,FALSE)="","",VLOOKUP(B144,$A$9:$L$20,7,FALSE))</f>
        <v>0</v>
      </c>
      <c r="C152" s="86" t="str">
        <f>IF(OR(B152="",B152=0),"",(VLOOKUP(B144,$A$9:$S$20,17,FALSE)))</f>
        <v/>
      </c>
      <c r="D152" s="86" t="str">
        <f t="shared" si="10"/>
        <v/>
      </c>
    </row>
    <row r="153" spans="1:5">
      <c r="A153" s="154" t="s">
        <v>181</v>
      </c>
      <c r="B153" s="5" t="str">
        <f>IF(A144=$M$3,Datenblatt!$B$5*4.33,"")</f>
        <v/>
      </c>
      <c r="C153" s="86" t="str">
        <f>IF(OR(B153="",B153=0),"",(VLOOKUP(B144,$A$9:$S$20,17,FALSE)*1.3))</f>
        <v/>
      </c>
      <c r="D153" s="86" t="str">
        <f t="shared" si="10"/>
        <v/>
      </c>
      <c r="E153" s="5" t="str">
        <f>IF(D153="","","(nicht sicher)")</f>
        <v/>
      </c>
    </row>
    <row r="154" spans="1:5">
      <c r="A154" s="154" t="s">
        <v>182</v>
      </c>
      <c r="B154" s="5" t="str">
        <f>IF(A144=$M$4,Datenblatt!$B$5*4.33,"")</f>
        <v/>
      </c>
      <c r="C154" s="86" t="str">
        <f>IF(OR(B154="",B154=0),"",(VLOOKUP(B144,$A$9:$S$20,17,FALSE)*1.3))</f>
        <v/>
      </c>
      <c r="D154" s="86" t="str">
        <f t="shared" si="10"/>
        <v/>
      </c>
      <c r="E154" s="5" t="str">
        <f>IF(D154="","","(nicht sicher)")</f>
        <v/>
      </c>
    </row>
    <row r="155" spans="1:5">
      <c r="A155" s="154" t="s">
        <v>183</v>
      </c>
      <c r="B155" s="4">
        <f>IF(VLOOKUP(B144,$A$9:$L$20,3,FALSE)="","",VLOOKUP(B144,$A$9:$L$20,3,FALSE)-B147-B148-B149)</f>
        <v>0</v>
      </c>
      <c r="C155" s="86" t="str">
        <f>IF(OR(B155="",B155=0),"",(VLOOKUP(B144,$A$9:$S$20,17,FALSE)))</f>
        <v/>
      </c>
      <c r="D155" s="86" t="str">
        <f t="shared" si="10"/>
        <v/>
      </c>
    </row>
    <row r="156" spans="1:5">
      <c r="A156" s="7" t="s">
        <v>184</v>
      </c>
      <c r="B156" s="5"/>
      <c r="C156" s="5"/>
      <c r="D156" s="89">
        <f>SUM(D146:D155)</f>
        <v>0</v>
      </c>
    </row>
    <row r="157" spans="1:5">
      <c r="A157" s="88"/>
      <c r="B157" s="35"/>
      <c r="C157" s="35"/>
      <c r="D157" s="35"/>
    </row>
    <row r="158" spans="1:5">
      <c r="A158" s="154"/>
      <c r="B158" s="5"/>
      <c r="C158" s="5"/>
    </row>
    <row r="159" spans="1:5">
      <c r="A159" s="2">
        <f>A144+1</f>
        <v>10</v>
      </c>
      <c r="B159" s="224" t="str">
        <f>VLOOKUP('Übersicht Monate'!A159,Daten!$Q$2:$R$13,2,FALSE)</f>
        <v>Oktober</v>
      </c>
      <c r="C159" s="224"/>
      <c r="D159" s="224"/>
    </row>
    <row r="160" spans="1:5">
      <c r="A160" s="155" t="s">
        <v>172</v>
      </c>
      <c r="B160" s="155" t="s">
        <v>173</v>
      </c>
      <c r="C160" s="155" t="s">
        <v>174</v>
      </c>
      <c r="D160" s="155" t="s">
        <v>175</v>
      </c>
      <c r="E160" s="155" t="s">
        <v>207</v>
      </c>
    </row>
    <row r="161" spans="1:5">
      <c r="A161" s="154" t="s">
        <v>171</v>
      </c>
      <c r="B161" s="5">
        <f>IF(VLOOKUP(B159,$A$9:$L$20,12,FALSE)="","",VLOOKUP(B159,$A$9:$L$20,12,FALSE))</f>
        <v>0</v>
      </c>
      <c r="C161" s="86" t="str">
        <f>IF(OR(B161="",B161=0),"",(VLOOKUP(B159,$A$9:$S$20,19,FALSE)))</f>
        <v/>
      </c>
      <c r="D161" s="86" t="str">
        <f>IF(OR(B161="",B161=0),"",B161*C161)</f>
        <v/>
      </c>
    </row>
    <row r="162" spans="1:5">
      <c r="A162" s="154" t="s">
        <v>176</v>
      </c>
      <c r="B162" s="5">
        <f>IF(VLOOKUP(B159,$A$9:$L$20,10,FALSE)="","",VLOOKUP(B159,$A$9:$L$20,10,FALSE)*$G$5)</f>
        <v>0</v>
      </c>
      <c r="C162" s="86" t="str">
        <f>IF(OR(B162="",B162=0),"",(VLOOKUP(B159,$A$9:$S$20,18,FALSE)))</f>
        <v/>
      </c>
      <c r="D162" s="86" t="str">
        <f>IF(OR(B162="",B162=0),"",B162*C162)</f>
        <v/>
      </c>
    </row>
    <row r="163" spans="1:5">
      <c r="A163" s="154" t="s">
        <v>206</v>
      </c>
      <c r="B163" s="5">
        <f>IF(VLOOKUP(B159,$A$9:$L$20,9,FALSE)="","",VLOOKUP(B159,$A$9:$L$20,9,FALSE)*$G$5)</f>
        <v>0</v>
      </c>
      <c r="C163" s="86" t="str">
        <f>IF(OR(B163="",B163=0),"",(VLOOKUP(B159,$A$9:$S$20,18,FALSE)))</f>
        <v/>
      </c>
      <c r="D163" s="86" t="str">
        <f>IF(OR(B163="",B163=0),"",B163*C163)</f>
        <v/>
      </c>
    </row>
    <row r="164" spans="1:5">
      <c r="A164" s="154" t="s">
        <v>177</v>
      </c>
      <c r="B164" s="4">
        <f>IF(VLOOKUP(B159,$A$9:$L$20,8,FALSE)="","",VLOOKUP(B159,$A$9:$L$20,8,FALSE))</f>
        <v>0</v>
      </c>
      <c r="C164" s="86" t="str">
        <f>IF(OR(B164="",B164=0),"",(VLOOKUP(B159,$A$9:$S$20,17,FALSE)))</f>
        <v/>
      </c>
      <c r="D164" s="86" t="str">
        <f>IF(OR(B164="",B164=0),"",B164*C164)</f>
        <v/>
      </c>
    </row>
    <row r="165" spans="1:5">
      <c r="A165" s="154" t="s">
        <v>178</v>
      </c>
      <c r="B165" s="4">
        <f>IF(VLOOKUP(B159,$A$9:$L$20,5,FALSE)="","",VLOOKUP(B159,$A$9:$L$20,5,FALSE))</f>
        <v>0</v>
      </c>
      <c r="C165" s="86" t="str">
        <f>IF(OR(B165="",B165=0),"",(VLOOKUP(B159,$A$9:$S$20,17,FALSE)/2))</f>
        <v/>
      </c>
      <c r="D165" s="86" t="str">
        <f t="shared" ref="D165:D170" si="11">IF(OR(B165="",B165=0),"",B165*C165)</f>
        <v/>
      </c>
    </row>
    <row r="166" spans="1:5">
      <c r="A166" s="154" t="s">
        <v>179</v>
      </c>
      <c r="B166" s="4">
        <f>IF(VLOOKUP(B159,$A$9:$L$20,6,FALSE)="","",VLOOKUP(B159,$A$9:$L$20,6,FALSE))</f>
        <v>0</v>
      </c>
      <c r="C166" s="86" t="str">
        <f>IF(OR(B166="",B166=0),"",(VLOOKUP(B159,$A$9:$S$20,17,FALSE)/2))</f>
        <v/>
      </c>
      <c r="D166" s="86" t="str">
        <f t="shared" si="11"/>
        <v/>
      </c>
    </row>
    <row r="167" spans="1:5">
      <c r="A167" s="154" t="s">
        <v>180</v>
      </c>
      <c r="B167" s="4">
        <f>IF(VLOOKUP(B159,$A$9:$L$20,7,FALSE)="","",VLOOKUP(B159,$A$9:$L$20,7,FALSE))</f>
        <v>0</v>
      </c>
      <c r="C167" s="86" t="str">
        <f>IF(OR(B167="",B167=0),"",(VLOOKUP(B159,$A$9:$S$20,17,FALSE)))</f>
        <v/>
      </c>
      <c r="D167" s="86" t="str">
        <f t="shared" si="11"/>
        <v/>
      </c>
    </row>
    <row r="168" spans="1:5">
      <c r="A168" s="154" t="s">
        <v>181</v>
      </c>
      <c r="B168" s="5" t="str">
        <f>IF(A159=$M$3,Datenblatt!$B$5*4.33,"")</f>
        <v/>
      </c>
      <c r="C168" s="86" t="str">
        <f>IF(OR(B168="",B168=0),"",(VLOOKUP(B159,$A$9:$S$20,17,FALSE)*1.3))</f>
        <v/>
      </c>
      <c r="D168" s="86" t="str">
        <f t="shared" si="11"/>
        <v/>
      </c>
      <c r="E168" s="5" t="str">
        <f>IF(D168="","","(nicht sicher)")</f>
        <v/>
      </c>
    </row>
    <row r="169" spans="1:5">
      <c r="A169" s="154" t="s">
        <v>182</v>
      </c>
      <c r="B169" s="5">
        <f>IF(A159=$M$4,Datenblatt!$B$5*4.33,"")</f>
        <v>173.2</v>
      </c>
      <c r="C169" s="86">
        <f>IF(OR(B169="",B169=0),"",(VLOOKUP(B159,$A$9:$S$20,17,FALSE)*1.3))</f>
        <v>17.641000000000002</v>
      </c>
      <c r="D169" s="86">
        <f t="shared" si="11"/>
        <v>3055.4212000000002</v>
      </c>
      <c r="E169" s="5" t="str">
        <f>IF(D169="","","(nicht sicher)")</f>
        <v>(nicht sicher)</v>
      </c>
    </row>
    <row r="170" spans="1:5">
      <c r="A170" s="154" t="s">
        <v>183</v>
      </c>
      <c r="B170" s="4">
        <f>IF(VLOOKUP(B159,$A$9:$L$20,3,FALSE)="","",VLOOKUP(B159,$A$9:$L$20,3,FALSE)-B162-B163-B164)</f>
        <v>6.67</v>
      </c>
      <c r="C170" s="86">
        <f>IF(OR(B170="",B170=0),"",(VLOOKUP(B159,$A$9:$S$20,17,FALSE)))</f>
        <v>13.57</v>
      </c>
      <c r="D170" s="86">
        <f t="shared" si="11"/>
        <v>90.511899999999997</v>
      </c>
    </row>
    <row r="171" spans="1:5">
      <c r="A171" s="7" t="s">
        <v>184</v>
      </c>
      <c r="B171" s="5"/>
      <c r="C171" s="5"/>
      <c r="D171" s="89">
        <f>SUM(D161:D170)</f>
        <v>3145.9331000000002</v>
      </c>
    </row>
    <row r="172" spans="1:5">
      <c r="A172" s="88"/>
      <c r="B172" s="35"/>
      <c r="C172" s="35"/>
      <c r="D172" s="35"/>
    </row>
    <row r="173" spans="1:5">
      <c r="A173" s="154"/>
      <c r="B173" s="5"/>
      <c r="C173" s="5"/>
    </row>
    <row r="174" spans="1:5">
      <c r="A174" s="2">
        <f>A159+1</f>
        <v>11</v>
      </c>
      <c r="B174" s="224" t="str">
        <f>VLOOKUP('Übersicht Monate'!A174,Daten!$Q$2:$R$13,2,FALSE)</f>
        <v>November</v>
      </c>
      <c r="C174" s="224"/>
      <c r="D174" s="224"/>
    </row>
    <row r="175" spans="1:5">
      <c r="A175" s="155" t="s">
        <v>172</v>
      </c>
      <c r="B175" s="155" t="s">
        <v>173</v>
      </c>
      <c r="C175" s="155" t="s">
        <v>174</v>
      </c>
      <c r="D175" s="155" t="s">
        <v>175</v>
      </c>
      <c r="E175" s="155" t="s">
        <v>207</v>
      </c>
    </row>
    <row r="176" spans="1:5">
      <c r="A176" s="154" t="s">
        <v>171</v>
      </c>
      <c r="B176" s="5">
        <f>IF(VLOOKUP(B174,$A$9:$L$20,12,FALSE)="","",VLOOKUP(B174,$A$9:$L$20,12,FALSE))</f>
        <v>0</v>
      </c>
      <c r="C176" s="86" t="str">
        <f>IF(OR(B176="",B176=0),"",(VLOOKUP(B174,$A$9:$S$20,19,FALSE)))</f>
        <v/>
      </c>
      <c r="D176" s="86" t="str">
        <f>IF(OR(B176="",B176=0),"",B176*C176)</f>
        <v/>
      </c>
    </row>
    <row r="177" spans="1:5">
      <c r="A177" s="154" t="s">
        <v>176</v>
      </c>
      <c r="B177" s="5">
        <f>IF(VLOOKUP(B174,$A$9:$L$20,10,FALSE)="","",VLOOKUP(B174,$A$9:$L$20,10,FALSE)*$G$5)</f>
        <v>0</v>
      </c>
      <c r="C177" s="86" t="str">
        <f>IF(OR(B177="",B177=0),"",(VLOOKUP(B174,$A$9:$S$20,18,FALSE)))</f>
        <v/>
      </c>
      <c r="D177" s="86" t="str">
        <f>IF(OR(B177="",B177=0),"",B177*C177)</f>
        <v/>
      </c>
    </row>
    <row r="178" spans="1:5">
      <c r="A178" s="154" t="s">
        <v>206</v>
      </c>
      <c r="B178" s="5">
        <f>IF(VLOOKUP(B174,$A$9:$L$20,9,FALSE)="","",VLOOKUP(B174,$A$9:$L$20,9,FALSE)*$G$5)</f>
        <v>0</v>
      </c>
      <c r="C178" s="86" t="str">
        <f>IF(OR(B178="",B178=0),"",(VLOOKUP(B174,$A$9:$S$20,18,FALSE)))</f>
        <v/>
      </c>
      <c r="D178" s="86" t="str">
        <f>IF(OR(B178="",B178=0),"",B178*C178)</f>
        <v/>
      </c>
    </row>
    <row r="179" spans="1:5">
      <c r="A179" s="154" t="s">
        <v>177</v>
      </c>
      <c r="B179" s="4">
        <f>IF(VLOOKUP(B174,$A$9:$L$20,8,FALSE)="","",VLOOKUP(B174,$A$9:$L$20,8,FALSE))</f>
        <v>0</v>
      </c>
      <c r="C179" s="86" t="str">
        <f>IF(OR(B179="",B179=0),"",(VLOOKUP(B174,$A$9:$S$20,17,FALSE)))</f>
        <v/>
      </c>
      <c r="D179" s="86" t="str">
        <f>IF(OR(B179="",B179=0),"",B179*C179)</f>
        <v/>
      </c>
    </row>
    <row r="180" spans="1:5">
      <c r="A180" s="154" t="s">
        <v>178</v>
      </c>
      <c r="B180" s="4">
        <f>IF(VLOOKUP(B174,$A$9:$L$20,5,FALSE)="","",VLOOKUP(B174,$A$9:$L$20,5,FALSE))</f>
        <v>0</v>
      </c>
      <c r="C180" s="86" t="str">
        <f>IF(OR(B180="",B180=0),"",(VLOOKUP(B174,$A$9:$S$20,17,FALSE)/2))</f>
        <v/>
      </c>
      <c r="D180" s="86" t="str">
        <f t="shared" ref="D180:D185" si="12">IF(OR(B180="",B180=0),"",B180*C180)</f>
        <v/>
      </c>
    </row>
    <row r="181" spans="1:5">
      <c r="A181" s="154" t="s">
        <v>179</v>
      </c>
      <c r="B181" s="4">
        <f>IF(VLOOKUP(B174,$A$9:$L$20,6,FALSE)="","",VLOOKUP(B174,$A$9:$L$20,6,FALSE))</f>
        <v>0</v>
      </c>
      <c r="C181" s="86" t="str">
        <f>IF(OR(B181="",B181=0),"",(VLOOKUP(B174,$A$9:$S$20,17,FALSE)/2))</f>
        <v/>
      </c>
      <c r="D181" s="86" t="str">
        <f t="shared" si="12"/>
        <v/>
      </c>
    </row>
    <row r="182" spans="1:5">
      <c r="A182" s="154" t="s">
        <v>180</v>
      </c>
      <c r="B182" s="4">
        <f>IF(VLOOKUP(B174,$A$9:$L$20,7,FALSE)="","",VLOOKUP(B174,$A$9:$L$20,7,FALSE))</f>
        <v>0</v>
      </c>
      <c r="C182" s="86" t="str">
        <f>IF(OR(B182="",B182=0),"",(VLOOKUP(B174,$A$9:$S$20,17,FALSE)))</f>
        <v/>
      </c>
      <c r="D182" s="86" t="str">
        <f t="shared" si="12"/>
        <v/>
      </c>
    </row>
    <row r="183" spans="1:5">
      <c r="A183" s="154" t="s">
        <v>181</v>
      </c>
      <c r="B183" s="5" t="str">
        <f>IF(A174=$M$3,Datenblatt!$B$5*4.33,"")</f>
        <v/>
      </c>
      <c r="C183" s="86" t="str">
        <f>IF(OR(B183="",B183=0),"",(VLOOKUP(B174,$A$9:$S$20,17,FALSE)*1.3))</f>
        <v/>
      </c>
      <c r="D183" s="86" t="str">
        <f t="shared" si="12"/>
        <v/>
      </c>
      <c r="E183" s="5" t="str">
        <f>IF(D183="","","(nicht sicher)")</f>
        <v/>
      </c>
    </row>
    <row r="184" spans="1:5">
      <c r="A184" s="154" t="s">
        <v>182</v>
      </c>
      <c r="B184" s="5" t="str">
        <f>IF(A174=$M$4,Datenblatt!$B$5*4.33,"")</f>
        <v/>
      </c>
      <c r="C184" s="86" t="str">
        <f>IF(OR(B184="",B184=0),"",(VLOOKUP(B174,$A$9:$S$20,17,FALSE)*1.3))</f>
        <v/>
      </c>
      <c r="D184" s="86" t="str">
        <f t="shared" si="12"/>
        <v/>
      </c>
      <c r="E184" s="5" t="str">
        <f>IF(D184="","","(nicht sicher)")</f>
        <v/>
      </c>
    </row>
    <row r="185" spans="1:5">
      <c r="A185" s="154" t="s">
        <v>183</v>
      </c>
      <c r="B185" s="4">
        <f>IF(VLOOKUP(B174,$A$9:$L$20,3,FALSE)="","",VLOOKUP(B174,$A$9:$L$20,3,FALSE)-B177-B178-B179)</f>
        <v>6.67</v>
      </c>
      <c r="C185" s="86">
        <f>IF(OR(B185="",B185=0),"",(VLOOKUP(B174,$A$9:$S$20,17,FALSE)))</f>
        <v>13.57</v>
      </c>
      <c r="D185" s="86">
        <f t="shared" si="12"/>
        <v>90.511899999999997</v>
      </c>
    </row>
    <row r="186" spans="1:5">
      <c r="A186" s="7" t="s">
        <v>184</v>
      </c>
      <c r="B186" s="5"/>
      <c r="C186" s="5"/>
      <c r="D186" s="89">
        <f>SUM(D176:D185)</f>
        <v>90.511899999999997</v>
      </c>
    </row>
    <row r="187" spans="1:5">
      <c r="A187" s="88"/>
      <c r="B187" s="35"/>
      <c r="C187" s="35"/>
      <c r="D187" s="35"/>
    </row>
    <row r="188" spans="1:5">
      <c r="A188" s="154"/>
      <c r="B188" s="5"/>
      <c r="C188" s="5"/>
    </row>
    <row r="189" spans="1:5">
      <c r="A189" s="2">
        <f>A174+1</f>
        <v>12</v>
      </c>
      <c r="B189" s="224" t="str">
        <f>VLOOKUP('Übersicht Monate'!A189,Daten!$Q$2:$R$13,2,FALSE)</f>
        <v>Dezember</v>
      </c>
      <c r="C189" s="224"/>
      <c r="D189" s="224"/>
    </row>
    <row r="190" spans="1:5">
      <c r="A190" s="155" t="s">
        <v>172</v>
      </c>
      <c r="B190" s="155" t="s">
        <v>173</v>
      </c>
      <c r="C190" s="155" t="s">
        <v>174</v>
      </c>
      <c r="D190" s="155" t="s">
        <v>175</v>
      </c>
      <c r="E190" s="155" t="s">
        <v>207</v>
      </c>
    </row>
    <row r="191" spans="1:5">
      <c r="A191" s="154" t="s">
        <v>171</v>
      </c>
      <c r="B191" s="5">
        <f>IF(VLOOKUP(B189,$A$9:$L$20,12,FALSE)="","",VLOOKUP(B189,$A$9:$L$20,12,FALSE))</f>
        <v>0</v>
      </c>
      <c r="C191" s="86" t="str">
        <f>IF(OR(B191="",B191=0),"",(VLOOKUP(B189,$A$9:$S$20,19,FALSE)))</f>
        <v/>
      </c>
      <c r="D191" s="86" t="str">
        <f>IF(OR(B191="",B191=0),"",B191*C191)</f>
        <v/>
      </c>
    </row>
    <row r="192" spans="1:5">
      <c r="A192" s="154" t="s">
        <v>176</v>
      </c>
      <c r="B192" s="5">
        <f>IF(VLOOKUP(B189,$A$9:$L$20,10,FALSE)="","",VLOOKUP(B189,$A$9:$L$20,10,FALSE)*$G$5)</f>
        <v>0</v>
      </c>
      <c r="C192" s="86" t="str">
        <f>IF(OR(B192="",B192=0),"",(VLOOKUP(B189,$A$9:$S$20,18,FALSE)))</f>
        <v/>
      </c>
      <c r="D192" s="86" t="str">
        <f>IF(OR(B192="",B192=0),"",B192*C192)</f>
        <v/>
      </c>
    </row>
    <row r="193" spans="1:5">
      <c r="A193" s="154" t="s">
        <v>206</v>
      </c>
      <c r="B193" s="5">
        <f>IF(VLOOKUP(B189,$A$9:$L$20,9,FALSE)="","",VLOOKUP(B189,$A$9:$L$20,9,FALSE)*$G$5)</f>
        <v>0</v>
      </c>
      <c r="C193" s="86" t="str">
        <f>IF(OR(B193="",B193=0),"",(VLOOKUP(B189,$A$9:$S$20,18,FALSE)))</f>
        <v/>
      </c>
      <c r="D193" s="86" t="str">
        <f>IF(OR(B193="",B193=0),"",B193*C193)</f>
        <v/>
      </c>
    </row>
    <row r="194" spans="1:5">
      <c r="A194" s="154" t="s">
        <v>177</v>
      </c>
      <c r="B194" s="4">
        <f>IF(VLOOKUP(B189,$A$9:$L$20,8,FALSE)="","",VLOOKUP(B189,$A$9:$L$20,8,FALSE))</f>
        <v>0</v>
      </c>
      <c r="C194" s="86" t="str">
        <f>IF(OR(B194="",B194=0),"",(VLOOKUP(B189,$A$9:$S$20,17,FALSE)))</f>
        <v/>
      </c>
      <c r="D194" s="86" t="str">
        <f>IF(OR(B194="",B194=0),"",B194*C194)</f>
        <v/>
      </c>
    </row>
    <row r="195" spans="1:5">
      <c r="A195" s="154" t="s">
        <v>178</v>
      </c>
      <c r="B195" s="4">
        <f>IF(VLOOKUP(B189,$A$9:$L$20,5,FALSE)="","",VLOOKUP(B189,$A$9:$L$20,5,FALSE))</f>
        <v>0</v>
      </c>
      <c r="C195" s="86" t="str">
        <f>IF(OR(B195="",B195=0),"",(VLOOKUP(B189,$A$9:$S$20,17,FALSE)/2))</f>
        <v/>
      </c>
      <c r="D195" s="86" t="str">
        <f t="shared" ref="D195:D200" si="13">IF(OR(B195="",B195=0),"",B195*C195)</f>
        <v/>
      </c>
    </row>
    <row r="196" spans="1:5">
      <c r="A196" s="154" t="s">
        <v>179</v>
      </c>
      <c r="B196" s="4">
        <f>IF(VLOOKUP(B189,$A$9:$L$20,6,FALSE)="","",VLOOKUP(B189,$A$9:$L$20,6,FALSE))</f>
        <v>0</v>
      </c>
      <c r="C196" s="86" t="str">
        <f>IF(OR(B196="",B196=0),"",(VLOOKUP(B189,$A$9:$S$20,17,FALSE)/2))</f>
        <v/>
      </c>
      <c r="D196" s="86" t="str">
        <f t="shared" si="13"/>
        <v/>
      </c>
    </row>
    <row r="197" spans="1:5">
      <c r="A197" s="154" t="s">
        <v>180</v>
      </c>
      <c r="B197" s="4">
        <f>IF(VLOOKUP(B189,$A$9:$L$20,7,FALSE)="","",VLOOKUP(B189,$A$9:$L$20,7,FALSE))</f>
        <v>0</v>
      </c>
      <c r="C197" s="86" t="str">
        <f>IF(OR(B197="",B197=0),"",(VLOOKUP(B189,$A$9:$S$20,17,FALSE)))</f>
        <v/>
      </c>
      <c r="D197" s="86" t="str">
        <f t="shared" si="13"/>
        <v/>
      </c>
    </row>
    <row r="198" spans="1:5">
      <c r="A198" s="154" t="s">
        <v>181</v>
      </c>
      <c r="B198" s="5" t="str">
        <f>IF(A189=$M$3,Datenblatt!$B$5*4.33,"")</f>
        <v/>
      </c>
      <c r="C198" s="86" t="str">
        <f>IF(OR(B198="",B198=0),"",(VLOOKUP(B189,$A$9:$S$20,17,FALSE)*1.3))</f>
        <v/>
      </c>
      <c r="D198" s="86" t="str">
        <f t="shared" si="13"/>
        <v/>
      </c>
      <c r="E198" s="5" t="str">
        <f>IF(D198="","","(nicht sicher)")</f>
        <v/>
      </c>
    </row>
    <row r="199" spans="1:5">
      <c r="A199" s="154" t="s">
        <v>182</v>
      </c>
      <c r="B199" s="5" t="str">
        <f>IF(A189=$M$4,Datenblatt!$B$5*4.33,"")</f>
        <v/>
      </c>
      <c r="C199" s="86" t="str">
        <f>IF(OR(B199="",B199=0),"",(VLOOKUP(B189,$A$9:$S$20,17,FALSE)*1.3))</f>
        <v/>
      </c>
      <c r="D199" s="86" t="str">
        <f t="shared" si="13"/>
        <v/>
      </c>
      <c r="E199" s="5" t="str">
        <f>IF(D199="","","(nicht sicher)")</f>
        <v/>
      </c>
    </row>
    <row r="200" spans="1:5">
      <c r="A200" s="154" t="s">
        <v>183</v>
      </c>
      <c r="B200" s="4">
        <f>IF(VLOOKUP(B189,$A$9:$L$20,3,FALSE)="","",VLOOKUP(B189,$A$9:$L$20,3,FALSE)-B192-B193-B194)</f>
        <v>13.34</v>
      </c>
      <c r="C200" s="86">
        <f>IF(OR(B200="",B200=0),"",(VLOOKUP(B189,$A$9:$S$20,17,FALSE)))</f>
        <v>13.57</v>
      </c>
      <c r="D200" s="86">
        <f t="shared" si="13"/>
        <v>181.02379999999999</v>
      </c>
    </row>
    <row r="201" spans="1:5">
      <c r="A201" s="7" t="s">
        <v>184</v>
      </c>
      <c r="B201" s="5"/>
      <c r="C201" s="5"/>
      <c r="D201" s="89">
        <f>SUM(D191:D200)</f>
        <v>181.02379999999999</v>
      </c>
    </row>
    <row r="202" spans="1:5">
      <c r="A202" s="88"/>
      <c r="B202" s="35"/>
      <c r="C202" s="35"/>
      <c r="D202" s="35"/>
    </row>
  </sheetData>
  <mergeCells count="27">
    <mergeCell ref="A1:O1"/>
    <mergeCell ref="B4:C4"/>
    <mergeCell ref="B5:C5"/>
    <mergeCell ref="E4:F4"/>
    <mergeCell ref="H4:I4"/>
    <mergeCell ref="B3:C3"/>
    <mergeCell ref="E3:F3"/>
    <mergeCell ref="H3:I3"/>
    <mergeCell ref="K4:L4"/>
    <mergeCell ref="K3:L3"/>
    <mergeCell ref="E5:F5"/>
    <mergeCell ref="H5:I5"/>
    <mergeCell ref="B189:D189"/>
    <mergeCell ref="B39:D39"/>
    <mergeCell ref="B54:D54"/>
    <mergeCell ref="B69:D69"/>
    <mergeCell ref="B84:D84"/>
    <mergeCell ref="B99:D99"/>
    <mergeCell ref="B114:D114"/>
    <mergeCell ref="B129:D129"/>
    <mergeCell ref="B144:D144"/>
    <mergeCell ref="B159:D159"/>
    <mergeCell ref="K21:L21"/>
    <mergeCell ref="B24:D24"/>
    <mergeCell ref="B6:C6"/>
    <mergeCell ref="H6:I6"/>
    <mergeCell ref="B174:D174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AC94-99C7-4EBA-808E-15546F45DDE5}">
  <dimension ref="A1:AG142"/>
  <sheetViews>
    <sheetView tabSelected="1" topLeftCell="A89" zoomScale="85" zoomScaleNormal="85" workbookViewId="0">
      <selection activeCell="AC29" sqref="AC29"/>
    </sheetView>
  </sheetViews>
  <sheetFormatPr defaultColWidth="10.90625" defaultRowHeight="14.5"/>
  <cols>
    <col min="1" max="1" width="10.6328125" style="100"/>
    <col min="2" max="2" width="10.90625" style="46" hidden="1" customWidth="1"/>
    <col min="3" max="3" width="17.08984375" style="5" hidden="1" customWidth="1"/>
    <col min="4" max="4" width="13.1796875" style="100" bestFit="1" customWidth="1"/>
    <col min="5" max="5" width="6.26953125" style="100" bestFit="1" customWidth="1"/>
    <col min="6" max="6" width="12.81640625" bestFit="1" customWidth="1"/>
    <col min="7" max="8" width="10.6328125" style="100"/>
    <col min="9" max="9" width="10.453125" bestFit="1" customWidth="1"/>
    <col min="10" max="10" width="10.453125" style="5" customWidth="1"/>
    <col min="11" max="12" width="11.81640625" style="116" customWidth="1"/>
    <col min="13" max="13" width="11.81640625" style="5" customWidth="1"/>
    <col min="14" max="14" width="12.54296875" style="116" bestFit="1" customWidth="1"/>
    <col min="15" max="15" width="18.1796875" bestFit="1" customWidth="1"/>
    <col min="16" max="16" width="12.54296875" bestFit="1" customWidth="1"/>
    <col min="18" max="18" width="5.81640625" customWidth="1"/>
    <col min="19" max="22" width="10.6328125" style="5" hidden="1" customWidth="1"/>
    <col min="23" max="23" width="12.1796875" bestFit="1" customWidth="1"/>
  </cols>
  <sheetData>
    <row r="1" spans="1:23" hidden="1">
      <c r="C1" s="5">
        <v>1</v>
      </c>
      <c r="D1" s="100">
        <v>2</v>
      </c>
      <c r="E1" s="100">
        <v>3</v>
      </c>
      <c r="F1" s="5">
        <v>4</v>
      </c>
      <c r="G1" s="100">
        <v>5</v>
      </c>
      <c r="H1" s="100">
        <v>6</v>
      </c>
      <c r="I1" s="5">
        <v>7</v>
      </c>
      <c r="J1" s="5">
        <v>8</v>
      </c>
      <c r="K1" s="116">
        <v>9</v>
      </c>
      <c r="L1" s="116">
        <v>10</v>
      </c>
      <c r="M1" s="5">
        <v>11</v>
      </c>
      <c r="N1" s="116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</row>
    <row r="2" spans="1:23">
      <c r="D2" s="101" t="s">
        <v>16</v>
      </c>
      <c r="E2" s="101" t="s">
        <v>162</v>
      </c>
      <c r="F2" s="3" t="s">
        <v>43</v>
      </c>
      <c r="G2" s="101" t="s">
        <v>8</v>
      </c>
      <c r="H2" s="101" t="s">
        <v>9</v>
      </c>
      <c r="I2" s="3" t="s">
        <v>5</v>
      </c>
      <c r="J2" s="3" t="s">
        <v>154</v>
      </c>
      <c r="K2" s="117" t="s">
        <v>144</v>
      </c>
      <c r="L2" s="117" t="s">
        <v>145</v>
      </c>
      <c r="M2" s="3" t="s">
        <v>146</v>
      </c>
      <c r="N2" s="117" t="s">
        <v>6</v>
      </c>
      <c r="O2" s="3" t="s">
        <v>23</v>
      </c>
      <c r="P2" s="3" t="s">
        <v>10</v>
      </c>
      <c r="Q2" s="3" t="s">
        <v>7</v>
      </c>
      <c r="S2" s="3" t="s">
        <v>156</v>
      </c>
      <c r="T2" s="3" t="s">
        <v>157</v>
      </c>
      <c r="U2" s="3" t="s">
        <v>158</v>
      </c>
      <c r="V2" s="3" t="s">
        <v>159</v>
      </c>
      <c r="W2" s="3" t="s">
        <v>115</v>
      </c>
    </row>
    <row r="3" spans="1:23" s="5" customFormat="1">
      <c r="A3" s="100"/>
      <c r="B3" s="46"/>
      <c r="C3" s="5" t="str">
        <f t="shared" ref="C3:C68" si="0">CONCATENATE(B3," ",D3)</f>
        <v xml:space="preserve"> Krankenstand</v>
      </c>
      <c r="D3" s="100" t="s">
        <v>85</v>
      </c>
      <c r="E3" s="100"/>
      <c r="G3" s="102"/>
      <c r="H3" s="102"/>
      <c r="I3" s="1"/>
      <c r="J3" s="1"/>
      <c r="K3" s="116"/>
      <c r="L3" s="118"/>
      <c r="M3" s="1"/>
      <c r="N3" s="118"/>
      <c r="O3" s="1"/>
    </row>
    <row r="4" spans="1:23" s="5" customFormat="1">
      <c r="A4" s="100"/>
      <c r="B4" s="46"/>
      <c r="C4" s="5" t="str">
        <f t="shared" si="0"/>
        <v xml:space="preserve"> Urlaub</v>
      </c>
      <c r="D4" s="100" t="s">
        <v>88</v>
      </c>
      <c r="E4" s="100"/>
      <c r="G4" s="102"/>
      <c r="H4" s="102"/>
      <c r="I4" s="1"/>
      <c r="J4" s="1"/>
      <c r="K4" s="116"/>
      <c r="L4" s="118"/>
      <c r="M4" s="1"/>
      <c r="N4" s="118"/>
      <c r="O4" s="1"/>
    </row>
    <row r="5" spans="1:23">
      <c r="A5" s="106">
        <v>44317</v>
      </c>
      <c r="B5" s="46">
        <f>IF(NOT(A5=""),A5,B4)</f>
        <v>44317</v>
      </c>
      <c r="C5" s="5" t="str">
        <f t="shared" si="0"/>
        <v>44317 Dienst 1</v>
      </c>
      <c r="D5" s="104" t="s">
        <v>208</v>
      </c>
      <c r="E5" s="226" t="s">
        <v>2</v>
      </c>
      <c r="F5" s="5" t="str">
        <f>CONCATENATE("Tour",RIGHT(D5,LEN(D5)-6))</f>
        <v>Tour 1</v>
      </c>
      <c r="G5" s="103">
        <v>0.19652777777777777</v>
      </c>
      <c r="H5" s="103">
        <v>0.48125000000000001</v>
      </c>
      <c r="I5" s="1">
        <f t="shared" ref="I5:I68" si="1">H5-G5</f>
        <v>0.28472222222222221</v>
      </c>
      <c r="J5" s="4">
        <f t="shared" ref="J5:J68" si="2">I5*24</f>
        <v>6.833333333333333</v>
      </c>
      <c r="K5" s="119">
        <v>6.9444444444444441E-3</v>
      </c>
      <c r="L5" s="120"/>
      <c r="M5" s="1">
        <f t="shared" ref="M5:M68" si="3">L5+K5</f>
        <v>6.9444444444444441E-3</v>
      </c>
      <c r="N5" s="119">
        <v>4.1666666666666664E-2</v>
      </c>
      <c r="O5" s="1">
        <f t="shared" ref="O5:O68" si="4">IF((H5-G5-N5)*24&lt;6.5,6.5/24,H5-G5-N5)</f>
        <v>0.27083333333333331</v>
      </c>
      <c r="P5" s="4">
        <f t="shared" ref="P5:P68" si="5">O5*24</f>
        <v>6.5</v>
      </c>
      <c r="Q5" s="5">
        <f t="shared" ref="Q5:Q68" si="6">IF((I5-M5)*24&lt;3,0,IF(ROUNDUP((I5-M5)*24,0)&gt;12,12,ROUNDUP((I5-M5)*24,0)))</f>
        <v>7</v>
      </c>
      <c r="R5" s="5"/>
      <c r="S5" s="1">
        <f>IF(G5&lt;Daten!$T$3,Dienste!G5,0)</f>
        <v>0.19652777777777777</v>
      </c>
      <c r="T5" s="1">
        <f>IF(G5&lt;Daten!$T$3,IF(H5&gt;Daten!$T$3,Daten!$T$3,Dienste!H5),0)</f>
        <v>0.20833333333333301</v>
      </c>
      <c r="U5" s="1">
        <f>IF(H5*24&gt;Daten!$T$2*24+24, (Daten!$T$2*24+24)/24, 0)</f>
        <v>0</v>
      </c>
      <c r="V5" s="1">
        <f>IF(H5*24&gt;Daten!$T$2*24+24,IF(H5*24&gt;Daten!$T$3*24+24,(Daten!$T$3*24+24)/24,H5),0)</f>
        <v>0</v>
      </c>
      <c r="W5" s="4">
        <f t="shared" ref="W5:W68" si="7">((V5-U5)+(T5-S5))*24</f>
        <v>0.28333333333332567</v>
      </c>
    </row>
    <row r="6" spans="1:23">
      <c r="B6" s="46">
        <f t="shared" ref="B6:B69" si="8">IF(NOT(A6=""),A6,B5)</f>
        <v>44317</v>
      </c>
      <c r="C6" s="5" t="str">
        <f t="shared" si="0"/>
        <v>44317 Dienst 2</v>
      </c>
      <c r="D6" s="104" t="s">
        <v>209</v>
      </c>
      <c r="E6" s="226"/>
      <c r="F6" s="5" t="str">
        <f t="shared" ref="F6:F69" si="9">CONCATENATE("Tour",RIGHT(D6,LEN(D6)-6))</f>
        <v>Tour 2</v>
      </c>
      <c r="G6" s="103">
        <v>0.21736111111111112</v>
      </c>
      <c r="H6" s="103">
        <v>0.75208333333333333</v>
      </c>
      <c r="I6" s="1">
        <f t="shared" si="1"/>
        <v>0.53472222222222221</v>
      </c>
      <c r="J6" s="4">
        <f t="shared" si="2"/>
        <v>12.833333333333332</v>
      </c>
      <c r="K6" s="119">
        <v>6.9444444444444441E-3</v>
      </c>
      <c r="L6" s="120"/>
      <c r="M6" s="1">
        <f t="shared" si="3"/>
        <v>6.9444444444444441E-3</v>
      </c>
      <c r="N6" s="119">
        <v>6.25E-2</v>
      </c>
      <c r="O6" s="1">
        <f t="shared" si="4"/>
        <v>0.47222222222222221</v>
      </c>
      <c r="P6" s="4">
        <f t="shared" si="5"/>
        <v>11.333333333333332</v>
      </c>
      <c r="Q6" s="5">
        <f t="shared" si="6"/>
        <v>12</v>
      </c>
      <c r="R6" s="5"/>
      <c r="S6" s="1">
        <f>IF(G6&lt;Daten!$T$3,Dienste!G6,0)</f>
        <v>0</v>
      </c>
      <c r="T6" s="1">
        <f>IF(G6&lt;Daten!$T$3,IF(H6&gt;Daten!$T$3,Daten!$T$3,Dienste!H6),0)</f>
        <v>0</v>
      </c>
      <c r="U6" s="1">
        <f>IF(H6*24&gt;Daten!$T$2*24+24, (Daten!$T$2*24+24)/24, 0)</f>
        <v>0</v>
      </c>
      <c r="V6" s="1">
        <f>IF(H6*24&gt;Daten!$T$2*24+24,IF(H6*24&gt;Daten!$T$3*24+24,(Daten!$T$3*24+24)/24,H6),0)</f>
        <v>0</v>
      </c>
      <c r="W6" s="4">
        <f t="shared" si="7"/>
        <v>0</v>
      </c>
    </row>
    <row r="7" spans="1:23">
      <c r="B7" s="46">
        <f t="shared" si="8"/>
        <v>44317</v>
      </c>
      <c r="C7" s="5" t="str">
        <f t="shared" si="0"/>
        <v>44317 Dienst 3</v>
      </c>
      <c r="D7" s="104" t="s">
        <v>210</v>
      </c>
      <c r="E7" s="226"/>
      <c r="F7" s="5" t="str">
        <f t="shared" si="9"/>
        <v>Tour 3</v>
      </c>
      <c r="G7" s="103">
        <v>0.20069444444444443</v>
      </c>
      <c r="H7" s="103">
        <v>0.56111111111111112</v>
      </c>
      <c r="I7" s="1">
        <f t="shared" si="1"/>
        <v>0.36041666666666672</v>
      </c>
      <c r="J7" s="4">
        <f t="shared" si="2"/>
        <v>8.6500000000000021</v>
      </c>
      <c r="K7" s="119">
        <v>6.9444444444444441E-3</v>
      </c>
      <c r="L7" s="120"/>
      <c r="M7" s="1">
        <f t="shared" si="3"/>
        <v>6.9444444444444441E-3</v>
      </c>
      <c r="N7" s="119">
        <v>4.7222222222222221E-2</v>
      </c>
      <c r="O7" s="1">
        <f t="shared" si="4"/>
        <v>0.3131944444444445</v>
      </c>
      <c r="P7" s="4">
        <f t="shared" si="5"/>
        <v>7.5166666666666675</v>
      </c>
      <c r="Q7" s="5">
        <f t="shared" si="6"/>
        <v>9</v>
      </c>
      <c r="R7" s="5"/>
      <c r="S7" s="1">
        <f>IF(G7&lt;Daten!$T$3,Dienste!G7,0)</f>
        <v>0.20069444444444443</v>
      </c>
      <c r="T7" s="1">
        <f>IF(G7&lt;Daten!$T$3,IF(H7&gt;Daten!$T$3,Daten!$T$3,Dienste!H7),0)</f>
        <v>0.20833333333333301</v>
      </c>
      <c r="U7" s="1">
        <f>IF(H7*24&gt;Daten!$T$2*24+24, (Daten!$T$2*24+24)/24, 0)</f>
        <v>0</v>
      </c>
      <c r="V7" s="1">
        <f>IF(H7*24&gt;Daten!$T$2*24+24,IF(H7*24&gt;Daten!$T$3*24+24,(Daten!$T$3*24+24)/24,H7),0)</f>
        <v>0</v>
      </c>
      <c r="W7" s="4">
        <f t="shared" si="7"/>
        <v>0.18333333333332602</v>
      </c>
    </row>
    <row r="8" spans="1:23">
      <c r="B8" s="46">
        <f t="shared" si="8"/>
        <v>44317</v>
      </c>
      <c r="C8" s="5" t="str">
        <f t="shared" si="0"/>
        <v>44317 Dienst 4</v>
      </c>
      <c r="D8" s="104" t="s">
        <v>211</v>
      </c>
      <c r="E8" s="226"/>
      <c r="F8" s="5" t="str">
        <f t="shared" si="9"/>
        <v>Tour 4</v>
      </c>
      <c r="G8" s="103">
        <v>0.1875</v>
      </c>
      <c r="H8" s="103">
        <v>0.58194444444444449</v>
      </c>
      <c r="I8" s="1">
        <f t="shared" si="1"/>
        <v>0.39444444444444449</v>
      </c>
      <c r="J8" s="4">
        <f t="shared" si="2"/>
        <v>9.4666666666666686</v>
      </c>
      <c r="K8" s="119">
        <v>6.9444444444444441E-3</v>
      </c>
      <c r="L8" s="120"/>
      <c r="M8" s="1">
        <f t="shared" si="3"/>
        <v>6.9444444444444441E-3</v>
      </c>
      <c r="N8" s="119">
        <v>4.7222222222222221E-2</v>
      </c>
      <c r="O8" s="1">
        <f t="shared" si="4"/>
        <v>0.34722222222222227</v>
      </c>
      <c r="P8" s="4">
        <f t="shared" si="5"/>
        <v>8.3333333333333339</v>
      </c>
      <c r="Q8" s="5">
        <f t="shared" si="6"/>
        <v>10</v>
      </c>
      <c r="R8" s="5"/>
      <c r="S8" s="1">
        <f>IF(G8&lt;Daten!$T$3,Dienste!G8,0)</f>
        <v>0.1875</v>
      </c>
      <c r="T8" s="1">
        <f>IF(G8&lt;Daten!$T$3,IF(H8&gt;Daten!$T$3,Daten!$T$3,Dienste!H8),0)</f>
        <v>0.20833333333333301</v>
      </c>
      <c r="U8" s="1">
        <f>IF(H8*24&gt;Daten!$T$2*24+24, (Daten!$T$2*24+24)/24, 0)</f>
        <v>0</v>
      </c>
      <c r="V8" s="1">
        <f>IF(H8*24&gt;Daten!$T$2*24+24,IF(H8*24&gt;Daten!$T$3*24+24,(Daten!$T$3*24+24)/24,H8),0)</f>
        <v>0</v>
      </c>
      <c r="W8" s="4">
        <f t="shared" si="7"/>
        <v>0.49999999999999223</v>
      </c>
    </row>
    <row r="9" spans="1:23">
      <c r="B9" s="46">
        <f t="shared" si="8"/>
        <v>44317</v>
      </c>
      <c r="C9" s="5" t="str">
        <f t="shared" si="0"/>
        <v>44317 Dienst 5</v>
      </c>
      <c r="D9" s="104" t="s">
        <v>212</v>
      </c>
      <c r="E9" s="226"/>
      <c r="F9" s="5" t="str">
        <f t="shared" si="9"/>
        <v>Tour 5</v>
      </c>
      <c r="G9" s="103">
        <v>0.19999999999999998</v>
      </c>
      <c r="H9" s="103">
        <v>0.60277777777777775</v>
      </c>
      <c r="I9" s="1">
        <f t="shared" si="1"/>
        <v>0.40277777777777779</v>
      </c>
      <c r="J9" s="4">
        <f t="shared" si="2"/>
        <v>9.6666666666666679</v>
      </c>
      <c r="K9" s="119">
        <v>6.9444444444444441E-3</v>
      </c>
      <c r="L9" s="120"/>
      <c r="M9" s="1">
        <f t="shared" si="3"/>
        <v>6.9444444444444441E-3</v>
      </c>
      <c r="N9" s="119">
        <v>4.7222222222222221E-2</v>
      </c>
      <c r="O9" s="1">
        <f t="shared" si="4"/>
        <v>0.35555555555555557</v>
      </c>
      <c r="P9" s="4">
        <f t="shared" si="5"/>
        <v>8.5333333333333332</v>
      </c>
      <c r="Q9" s="5">
        <f t="shared" si="6"/>
        <v>10</v>
      </c>
      <c r="R9" s="5"/>
      <c r="S9" s="1">
        <f>IF(G9&lt;Daten!$T$3,Dienste!G9,0)</f>
        <v>0.19999999999999998</v>
      </c>
      <c r="T9" s="1">
        <f>IF(G9&lt;Daten!$T$3,IF(H9&gt;Daten!$T$3,Daten!$T$3,Dienste!H9),0)</f>
        <v>0.20833333333333301</v>
      </c>
      <c r="U9" s="1">
        <f>IF(H9*24&gt;Daten!$T$2*24+24, (Daten!$T$2*24+24)/24, 0)</f>
        <v>0</v>
      </c>
      <c r="V9" s="1">
        <f>IF(H9*24&gt;Daten!$T$2*24+24,IF(H9*24&gt;Daten!$T$3*24+24,(Daten!$T$3*24+24)/24,H9),0)</f>
        <v>0</v>
      </c>
      <c r="W9" s="4">
        <f t="shared" si="7"/>
        <v>0.19999999999999263</v>
      </c>
    </row>
    <row r="10" spans="1:23">
      <c r="B10" s="46">
        <f t="shared" si="8"/>
        <v>44317</v>
      </c>
      <c r="C10" s="5" t="str">
        <f t="shared" si="0"/>
        <v>44317 Dienst 6</v>
      </c>
      <c r="D10" s="104" t="s">
        <v>213</v>
      </c>
      <c r="E10" s="226"/>
      <c r="F10" s="5" t="str">
        <f t="shared" si="9"/>
        <v>Tour 6</v>
      </c>
      <c r="G10" s="103">
        <v>0.20347222222222219</v>
      </c>
      <c r="H10" s="103">
        <v>0.74791666666666667</v>
      </c>
      <c r="I10" s="1">
        <f t="shared" si="1"/>
        <v>0.54444444444444451</v>
      </c>
      <c r="J10" s="4">
        <f t="shared" si="2"/>
        <v>13.066666666666668</v>
      </c>
      <c r="K10" s="119">
        <v>6.9444444444444441E-3</v>
      </c>
      <c r="L10" s="120"/>
      <c r="M10" s="1">
        <f t="shared" si="3"/>
        <v>6.9444444444444441E-3</v>
      </c>
      <c r="N10" s="119">
        <v>6.25E-2</v>
      </c>
      <c r="O10" s="1">
        <f t="shared" si="4"/>
        <v>0.48194444444444451</v>
      </c>
      <c r="P10" s="4">
        <f t="shared" si="5"/>
        <v>11.566666666666668</v>
      </c>
      <c r="Q10" s="5">
        <f t="shared" si="6"/>
        <v>12</v>
      </c>
      <c r="R10" s="5"/>
      <c r="S10" s="1">
        <f>IF(G10&lt;Daten!$T$3,Dienste!G10,0)</f>
        <v>0.20347222222222219</v>
      </c>
      <c r="T10" s="1">
        <f>IF(G10&lt;Daten!$T$3,IF(H10&gt;Daten!$T$3,Daten!$T$3,Dienste!H10),0)</f>
        <v>0.20833333333333301</v>
      </c>
      <c r="U10" s="1">
        <f>IF(H10*24&gt;Daten!$T$2*24+24, (Daten!$T$2*24+24)/24, 0)</f>
        <v>0</v>
      </c>
      <c r="V10" s="1">
        <f>IF(H10*24&gt;Daten!$T$2*24+24,IF(H10*24&gt;Daten!$T$3*24+24,(Daten!$T$3*24+24)/24,H10),0)</f>
        <v>0</v>
      </c>
      <c r="W10" s="4">
        <f t="shared" si="7"/>
        <v>0.11666666666665959</v>
      </c>
    </row>
    <row r="11" spans="1:23">
      <c r="B11" s="46">
        <f t="shared" si="8"/>
        <v>44317</v>
      </c>
      <c r="C11" s="5" t="str">
        <f t="shared" si="0"/>
        <v>44317 Dienst 7</v>
      </c>
      <c r="D11" s="104" t="s">
        <v>214</v>
      </c>
      <c r="E11" s="226"/>
      <c r="F11" s="5" t="str">
        <f t="shared" si="9"/>
        <v>Tour 7</v>
      </c>
      <c r="G11" s="103">
        <v>0.19444444444444445</v>
      </c>
      <c r="H11" s="103">
        <v>0.76874999999999993</v>
      </c>
      <c r="I11" s="1">
        <f t="shared" si="1"/>
        <v>0.57430555555555551</v>
      </c>
      <c r="J11" s="4">
        <f t="shared" si="2"/>
        <v>13.783333333333331</v>
      </c>
      <c r="K11" s="119">
        <v>6.9444444444444441E-3</v>
      </c>
      <c r="L11" s="120"/>
      <c r="M11" s="1">
        <f t="shared" si="3"/>
        <v>6.9444444444444441E-3</v>
      </c>
      <c r="N11" s="119">
        <v>6.25E-2</v>
      </c>
      <c r="O11" s="1">
        <f t="shared" si="4"/>
        <v>0.51180555555555551</v>
      </c>
      <c r="P11" s="4">
        <f t="shared" si="5"/>
        <v>12.283333333333331</v>
      </c>
      <c r="Q11" s="5">
        <f t="shared" si="6"/>
        <v>12</v>
      </c>
      <c r="R11" s="5"/>
      <c r="S11" s="1">
        <f>IF(G11&lt;Daten!$T$3,Dienste!G11,0)</f>
        <v>0.19444444444444445</v>
      </c>
      <c r="T11" s="1">
        <f>IF(G11&lt;Daten!$T$3,IF(H11&gt;Daten!$T$3,Daten!$T$3,Dienste!H11),0)</f>
        <v>0.20833333333333301</v>
      </c>
      <c r="U11" s="1">
        <f>IF(H11*24&gt;Daten!$T$2*24+24, (Daten!$T$2*24+24)/24, 0)</f>
        <v>0</v>
      </c>
      <c r="V11" s="1">
        <f>IF(H11*24&gt;Daten!$T$2*24+24,IF(H11*24&gt;Daten!$T$3*24+24,(Daten!$T$3*24+24)/24,H11),0)</f>
        <v>0</v>
      </c>
      <c r="W11" s="4">
        <f t="shared" si="7"/>
        <v>0.33333333333332549</v>
      </c>
    </row>
    <row r="12" spans="1:23">
      <c r="B12" s="46">
        <f t="shared" si="8"/>
        <v>44317</v>
      </c>
      <c r="C12" s="5" t="str">
        <f t="shared" si="0"/>
        <v>44317 Dienst 8</v>
      </c>
      <c r="D12" s="104" t="s">
        <v>215</v>
      </c>
      <c r="E12" s="226"/>
      <c r="F12" s="5" t="str">
        <f t="shared" si="9"/>
        <v>Tour 8</v>
      </c>
      <c r="G12" s="103">
        <v>0.20555555555555557</v>
      </c>
      <c r="H12" s="103">
        <v>0.7729166666666667</v>
      </c>
      <c r="I12" s="1">
        <f t="shared" si="1"/>
        <v>0.56736111111111109</v>
      </c>
      <c r="J12" s="4">
        <f t="shared" si="2"/>
        <v>13.616666666666667</v>
      </c>
      <c r="K12" s="119">
        <v>6.9444444444444441E-3</v>
      </c>
      <c r="L12" s="120"/>
      <c r="M12" s="1">
        <f t="shared" si="3"/>
        <v>6.9444444444444441E-3</v>
      </c>
      <c r="N12" s="119">
        <v>6.25E-2</v>
      </c>
      <c r="O12" s="1">
        <f t="shared" si="4"/>
        <v>0.50486111111111109</v>
      </c>
      <c r="P12" s="4">
        <f t="shared" si="5"/>
        <v>12.116666666666667</v>
      </c>
      <c r="Q12" s="5">
        <f t="shared" si="6"/>
        <v>12</v>
      </c>
      <c r="R12" s="5"/>
      <c r="S12" s="1">
        <f>IF(G12&lt;Daten!$T$3,Dienste!G12,0)</f>
        <v>0.20555555555555557</v>
      </c>
      <c r="T12" s="1">
        <f>IF(G12&lt;Daten!$T$3,IF(H12&gt;Daten!$T$3,Daten!$T$3,Dienste!H12),0)</f>
        <v>0.20833333333333301</v>
      </c>
      <c r="U12" s="1">
        <f>IF(H12*24&gt;Daten!$T$2*24+24, (Daten!$T$2*24+24)/24, 0)</f>
        <v>0</v>
      </c>
      <c r="V12" s="1">
        <f>IF(H12*24&gt;Daten!$T$2*24+24,IF(H12*24&gt;Daten!$T$3*24+24,(Daten!$T$3*24+24)/24,H12),0)</f>
        <v>0</v>
      </c>
      <c r="W12" s="4">
        <f t="shared" si="7"/>
        <v>6.6666666666658436E-2</v>
      </c>
    </row>
    <row r="13" spans="1:23">
      <c r="B13" s="46">
        <f t="shared" si="8"/>
        <v>44317</v>
      </c>
      <c r="C13" s="5" t="str">
        <f t="shared" si="0"/>
        <v>44317 Dienst 9</v>
      </c>
      <c r="D13" s="104" t="s">
        <v>216</v>
      </c>
      <c r="E13" s="226"/>
      <c r="F13" s="5" t="str">
        <f t="shared" si="9"/>
        <v>Tour 9</v>
      </c>
      <c r="G13" s="103">
        <v>0.1986111111111111</v>
      </c>
      <c r="H13" s="103">
        <v>0.74930555555555556</v>
      </c>
      <c r="I13" s="1">
        <f t="shared" si="1"/>
        <v>0.55069444444444449</v>
      </c>
      <c r="J13" s="4">
        <f t="shared" si="2"/>
        <v>13.216666666666669</v>
      </c>
      <c r="K13" s="119">
        <v>6.9444444444444441E-3</v>
      </c>
      <c r="L13" s="120"/>
      <c r="M13" s="1">
        <f t="shared" si="3"/>
        <v>6.9444444444444441E-3</v>
      </c>
      <c r="N13" s="119">
        <v>6.25E-2</v>
      </c>
      <c r="O13" s="1">
        <f t="shared" si="4"/>
        <v>0.48819444444444449</v>
      </c>
      <c r="P13" s="4">
        <f t="shared" si="5"/>
        <v>11.716666666666669</v>
      </c>
      <c r="Q13" s="5">
        <f t="shared" si="6"/>
        <v>12</v>
      </c>
      <c r="R13" s="5"/>
      <c r="S13" s="1">
        <f>IF(G13&lt;Daten!$T$3,Dienste!G13,0)</f>
        <v>0.1986111111111111</v>
      </c>
      <c r="T13" s="1">
        <f>IF(G13&lt;Daten!$T$3,IF(H13&gt;Daten!$T$3,Daten!$T$3,Dienste!H13),0)</f>
        <v>0.20833333333333301</v>
      </c>
      <c r="U13" s="1">
        <f>IF(H13*24&gt;Daten!$T$2*24+24, (Daten!$T$2*24+24)/24, 0)</f>
        <v>0</v>
      </c>
      <c r="V13" s="1">
        <f>IF(H13*24&gt;Daten!$T$2*24+24,IF(H13*24&gt;Daten!$T$3*24+24,(Daten!$T$3*24+24)/24,H13),0)</f>
        <v>0</v>
      </c>
      <c r="W13" s="4">
        <f t="shared" si="7"/>
        <v>0.23333333333332584</v>
      </c>
    </row>
    <row r="14" spans="1:23">
      <c r="B14" s="46">
        <f t="shared" si="8"/>
        <v>44317</v>
      </c>
      <c r="C14" s="5" t="str">
        <f t="shared" si="0"/>
        <v>44317 Dienst 10</v>
      </c>
      <c r="D14" s="104" t="s">
        <v>217</v>
      </c>
      <c r="E14" s="226"/>
      <c r="F14" s="5" t="str">
        <f t="shared" si="9"/>
        <v>Tour 10</v>
      </c>
      <c r="G14" s="103">
        <v>0.18472222222222223</v>
      </c>
      <c r="H14" s="103">
        <v>0.78888888888888886</v>
      </c>
      <c r="I14" s="1">
        <f t="shared" si="1"/>
        <v>0.60416666666666663</v>
      </c>
      <c r="J14" s="4">
        <f t="shared" si="2"/>
        <v>14.5</v>
      </c>
      <c r="K14" s="119">
        <v>6.9444444444444441E-3</v>
      </c>
      <c r="L14" s="120"/>
      <c r="M14" s="1">
        <f t="shared" si="3"/>
        <v>6.9444444444444441E-3</v>
      </c>
      <c r="N14" s="119">
        <v>6.25E-2</v>
      </c>
      <c r="O14" s="1">
        <f t="shared" si="4"/>
        <v>0.54166666666666663</v>
      </c>
      <c r="P14" s="4">
        <f t="shared" si="5"/>
        <v>13</v>
      </c>
      <c r="Q14" s="5">
        <f t="shared" si="6"/>
        <v>12</v>
      </c>
      <c r="R14" s="5"/>
      <c r="S14" s="1">
        <f>IF(G14&lt;Daten!$T$3,Dienste!G14,0)</f>
        <v>0.18472222222222223</v>
      </c>
      <c r="T14" s="1">
        <f>IF(G14&lt;Daten!$T$3,IF(H14&gt;Daten!$T$3,Daten!$T$3,Dienste!H14),0)</f>
        <v>0.20833333333333301</v>
      </c>
      <c r="U14" s="1">
        <f>IF(H14*24&gt;Daten!$T$2*24+24, (Daten!$T$2*24+24)/24, 0)</f>
        <v>0</v>
      </c>
      <c r="V14" s="1">
        <f>IF(H14*24&gt;Daten!$T$2*24+24,IF(H14*24&gt;Daten!$T$3*24+24,(Daten!$T$3*24+24)/24,H14),0)</f>
        <v>0</v>
      </c>
      <c r="W14" s="4">
        <f t="shared" si="7"/>
        <v>0.56666666666665866</v>
      </c>
    </row>
    <row r="15" spans="1:23">
      <c r="B15" s="46">
        <f t="shared" si="8"/>
        <v>44317</v>
      </c>
      <c r="C15" s="5" t="str">
        <f t="shared" si="0"/>
        <v>44317 Dienst 11</v>
      </c>
      <c r="D15" s="104" t="s">
        <v>218</v>
      </c>
      <c r="E15" s="226"/>
      <c r="F15" s="5" t="str">
        <f t="shared" si="9"/>
        <v>Tour 11</v>
      </c>
      <c r="G15" s="103">
        <v>0.20555555555555557</v>
      </c>
      <c r="H15" s="103">
        <v>0.64513888888888882</v>
      </c>
      <c r="I15" s="1">
        <f t="shared" si="1"/>
        <v>0.43958333333333321</v>
      </c>
      <c r="J15" s="4">
        <f t="shared" si="2"/>
        <v>10.549999999999997</v>
      </c>
      <c r="K15" s="119">
        <v>6.9444444444444441E-3</v>
      </c>
      <c r="L15" s="120"/>
      <c r="M15" s="1">
        <f t="shared" si="3"/>
        <v>6.9444444444444441E-3</v>
      </c>
      <c r="N15" s="119">
        <v>4.3055555555555562E-2</v>
      </c>
      <c r="O15" s="1">
        <f t="shared" si="4"/>
        <v>0.39652777777777765</v>
      </c>
      <c r="P15" s="4">
        <f t="shared" si="5"/>
        <v>9.5166666666666639</v>
      </c>
      <c r="Q15" s="5">
        <f t="shared" si="6"/>
        <v>11</v>
      </c>
      <c r="R15" s="5"/>
      <c r="S15" s="1">
        <f>IF(G15&lt;Daten!$T$3,Dienste!G15,0)</f>
        <v>0.20555555555555557</v>
      </c>
      <c r="T15" s="1">
        <f>IF(G15&lt;Daten!$T$3,IF(H15&gt;Daten!$T$3,Daten!$T$3,Dienste!H15),0)</f>
        <v>0.20833333333333301</v>
      </c>
      <c r="U15" s="1">
        <f>IF(H15*24&gt;Daten!$T$2*24+24, (Daten!$T$2*24+24)/24, 0)</f>
        <v>0</v>
      </c>
      <c r="V15" s="1">
        <f>IF(H15*24&gt;Daten!$T$2*24+24,IF(H15*24&gt;Daten!$T$3*24+24,(Daten!$T$3*24+24)/24,H15),0)</f>
        <v>0</v>
      </c>
      <c r="W15" s="4">
        <f t="shared" si="7"/>
        <v>6.6666666666658436E-2</v>
      </c>
    </row>
    <row r="16" spans="1:23">
      <c r="B16" s="46">
        <f t="shared" si="8"/>
        <v>44317</v>
      </c>
      <c r="C16" s="5" t="str">
        <f t="shared" si="0"/>
        <v>44317 Dienst 12</v>
      </c>
      <c r="D16" s="104" t="s">
        <v>219</v>
      </c>
      <c r="E16" s="226"/>
      <c r="F16" s="5" t="str">
        <f t="shared" si="9"/>
        <v>Tour 12</v>
      </c>
      <c r="G16" s="103">
        <v>0.20555555555555557</v>
      </c>
      <c r="H16" s="103">
        <v>0.74791666666666667</v>
      </c>
      <c r="I16" s="1">
        <f t="shared" si="1"/>
        <v>0.54236111111111107</v>
      </c>
      <c r="J16" s="4">
        <f t="shared" si="2"/>
        <v>13.016666666666666</v>
      </c>
      <c r="K16" s="119">
        <v>6.9444444444444441E-3</v>
      </c>
      <c r="L16" s="120"/>
      <c r="M16" s="1">
        <f t="shared" si="3"/>
        <v>6.9444444444444441E-3</v>
      </c>
      <c r="N16" s="119">
        <v>6.25E-2</v>
      </c>
      <c r="O16" s="1">
        <f t="shared" si="4"/>
        <v>0.47986111111111107</v>
      </c>
      <c r="P16" s="4">
        <f t="shared" si="5"/>
        <v>11.516666666666666</v>
      </c>
      <c r="Q16" s="5">
        <f t="shared" si="6"/>
        <v>12</v>
      </c>
      <c r="R16" s="5"/>
      <c r="S16" s="1">
        <f>IF(G16&lt;Daten!$T$3,Dienste!G16,0)</f>
        <v>0.20555555555555557</v>
      </c>
      <c r="T16" s="1">
        <f>IF(G16&lt;Daten!$T$3,IF(H16&gt;Daten!$T$3,Daten!$T$3,Dienste!H16),0)</f>
        <v>0.20833333333333301</v>
      </c>
      <c r="U16" s="1">
        <f>IF(H16*24&gt;Daten!$T$2*24+24, (Daten!$T$2*24+24)/24, 0)</f>
        <v>0</v>
      </c>
      <c r="V16" s="1">
        <f>IF(H16*24&gt;Daten!$T$2*24+24,IF(H16*24&gt;Daten!$T$3*24+24,(Daten!$T$3*24+24)/24,H16),0)</f>
        <v>0</v>
      </c>
      <c r="W16" s="4">
        <f t="shared" si="7"/>
        <v>6.6666666666658436E-2</v>
      </c>
    </row>
    <row r="17" spans="2:23">
      <c r="B17" s="46">
        <f t="shared" si="8"/>
        <v>44317</v>
      </c>
      <c r="C17" s="5" t="str">
        <f t="shared" si="0"/>
        <v>44317 Dienst 13</v>
      </c>
      <c r="D17" s="104" t="s">
        <v>220</v>
      </c>
      <c r="E17" s="226"/>
      <c r="F17" s="5" t="str">
        <f t="shared" si="9"/>
        <v>Tour 13</v>
      </c>
      <c r="G17" s="103">
        <v>0.22638888888888889</v>
      </c>
      <c r="H17" s="103">
        <v>0.62430555555555556</v>
      </c>
      <c r="I17" s="1">
        <f t="shared" si="1"/>
        <v>0.3979166666666667</v>
      </c>
      <c r="J17" s="4">
        <f t="shared" si="2"/>
        <v>9.5500000000000007</v>
      </c>
      <c r="K17" s="119">
        <v>6.9444444444444441E-3</v>
      </c>
      <c r="L17" s="120"/>
      <c r="M17" s="1">
        <f t="shared" si="3"/>
        <v>6.9444444444444441E-3</v>
      </c>
      <c r="N17" s="119">
        <v>6.25E-2</v>
      </c>
      <c r="O17" s="1">
        <f t="shared" si="4"/>
        <v>0.3354166666666667</v>
      </c>
      <c r="P17" s="4">
        <f t="shared" si="5"/>
        <v>8.0500000000000007</v>
      </c>
      <c r="Q17" s="5">
        <f t="shared" si="6"/>
        <v>10</v>
      </c>
      <c r="R17" s="5"/>
      <c r="S17" s="1">
        <f>IF(G17&lt;Daten!$T$3,Dienste!G17,0)</f>
        <v>0</v>
      </c>
      <c r="T17" s="1">
        <f>IF(G17&lt;Daten!$T$3,IF(H17&gt;Daten!$T$3,Daten!$T$3,Dienste!H17),0)</f>
        <v>0</v>
      </c>
      <c r="U17" s="1">
        <f>IF(H17*24&gt;Daten!$T$2*24+24, (Daten!$T$2*24+24)/24, 0)</f>
        <v>0</v>
      </c>
      <c r="V17" s="1">
        <f>IF(H17*24&gt;Daten!$T$2*24+24,IF(H17*24&gt;Daten!$T$3*24+24,(Daten!$T$3*24+24)/24,H17),0)</f>
        <v>0</v>
      </c>
      <c r="W17" s="4">
        <f t="shared" si="7"/>
        <v>0</v>
      </c>
    </row>
    <row r="18" spans="2:23">
      <c r="B18" s="46">
        <f t="shared" si="8"/>
        <v>44317</v>
      </c>
      <c r="C18" s="5" t="str">
        <f t="shared" si="0"/>
        <v>44317 Dienst 14</v>
      </c>
      <c r="D18" s="104" t="s">
        <v>221</v>
      </c>
      <c r="E18" s="226"/>
      <c r="F18" s="5" t="str">
        <f t="shared" si="9"/>
        <v>Tour 14</v>
      </c>
      <c r="G18" s="103">
        <v>0.33263888888888887</v>
      </c>
      <c r="H18" s="103">
        <v>0.96805555555555556</v>
      </c>
      <c r="I18" s="1">
        <f t="shared" si="1"/>
        <v>0.63541666666666674</v>
      </c>
      <c r="J18" s="4">
        <f t="shared" si="2"/>
        <v>15.250000000000002</v>
      </c>
      <c r="K18" s="120"/>
      <c r="L18" s="119">
        <v>1.0416666666666666E-2</v>
      </c>
      <c r="M18" s="1">
        <f t="shared" si="3"/>
        <v>1.0416666666666666E-2</v>
      </c>
      <c r="N18" s="119">
        <v>6.25E-2</v>
      </c>
      <c r="O18" s="1">
        <f t="shared" si="4"/>
        <v>0.57291666666666674</v>
      </c>
      <c r="P18" s="4">
        <f t="shared" si="5"/>
        <v>13.750000000000002</v>
      </c>
      <c r="Q18" s="5">
        <f t="shared" si="6"/>
        <v>12</v>
      </c>
      <c r="R18" s="5"/>
      <c r="S18" s="1">
        <f>IF(G18&lt;Daten!$T$3,Dienste!G18,0)</f>
        <v>0</v>
      </c>
      <c r="T18" s="1">
        <f>IF(G18&lt;Daten!$T$3,IF(H18&gt;Daten!$T$3,Daten!$T$3,Dienste!H18),0)</f>
        <v>0</v>
      </c>
      <c r="U18" s="1">
        <f>IF(H18*24&gt;Daten!$T$2*24+24, (Daten!$T$2*24+24)/24, 0)</f>
        <v>0</v>
      </c>
      <c r="V18" s="1">
        <f>IF(H18*24&gt;Daten!$T$2*24+24,IF(H18*24&gt;Daten!$T$3*24+24,(Daten!$T$3*24+24)/24,H18),0)</f>
        <v>0</v>
      </c>
      <c r="W18" s="4">
        <f t="shared" si="7"/>
        <v>0</v>
      </c>
    </row>
    <row r="19" spans="2:23">
      <c r="B19" s="46">
        <f t="shared" si="8"/>
        <v>44317</v>
      </c>
      <c r="C19" s="5" t="str">
        <f t="shared" si="0"/>
        <v>44317 Dienst 15</v>
      </c>
      <c r="D19" s="104" t="s">
        <v>222</v>
      </c>
      <c r="E19" s="226"/>
      <c r="F19" s="5" t="str">
        <f t="shared" si="9"/>
        <v>Tour 15</v>
      </c>
      <c r="G19" s="103">
        <v>0.29305555555555557</v>
      </c>
      <c r="H19" s="103">
        <v>0.7895833333333333</v>
      </c>
      <c r="I19" s="1">
        <f t="shared" si="1"/>
        <v>0.49652777777777773</v>
      </c>
      <c r="J19" s="4">
        <f t="shared" si="2"/>
        <v>11.916666666666666</v>
      </c>
      <c r="K19" s="120"/>
      <c r="L19" s="120"/>
      <c r="M19" s="1">
        <f t="shared" si="3"/>
        <v>0</v>
      </c>
      <c r="N19" s="119">
        <v>6.25E-2</v>
      </c>
      <c r="O19" s="1">
        <f t="shared" si="4"/>
        <v>0.43402777777777773</v>
      </c>
      <c r="P19" s="4">
        <f t="shared" si="5"/>
        <v>10.416666666666666</v>
      </c>
      <c r="Q19" s="5">
        <f t="shared" si="6"/>
        <v>12</v>
      </c>
      <c r="R19" s="5"/>
      <c r="S19" s="1">
        <f>IF(G19&lt;Daten!$T$3,Dienste!G19,0)</f>
        <v>0</v>
      </c>
      <c r="T19" s="1">
        <f>IF(G19&lt;Daten!$T$3,IF(H19&gt;Daten!$T$3,Daten!$T$3,Dienste!H19),0)</f>
        <v>0</v>
      </c>
      <c r="U19" s="1">
        <f>IF(H19*24&gt;Daten!$T$2*24+24, (Daten!$T$2*24+24)/24, 0)</f>
        <v>0</v>
      </c>
      <c r="V19" s="1">
        <f>IF(H19*24&gt;Daten!$T$2*24+24,IF(H19*24&gt;Daten!$T$3*24+24,(Daten!$T$3*24+24)/24,H19),0)</f>
        <v>0</v>
      </c>
      <c r="W19" s="4">
        <f t="shared" si="7"/>
        <v>0</v>
      </c>
    </row>
    <row r="20" spans="2:23">
      <c r="B20" s="46">
        <f t="shared" si="8"/>
        <v>44317</v>
      </c>
      <c r="C20" s="5" t="str">
        <f t="shared" si="0"/>
        <v>44317 Dienst 16</v>
      </c>
      <c r="D20" s="104" t="s">
        <v>223</v>
      </c>
      <c r="E20" s="226"/>
      <c r="F20" s="5" t="str">
        <f t="shared" si="9"/>
        <v>Tour 16</v>
      </c>
      <c r="G20" s="103">
        <v>0.31388888888888888</v>
      </c>
      <c r="H20" s="103">
        <v>0.7909722222222223</v>
      </c>
      <c r="I20" s="1">
        <f t="shared" si="1"/>
        <v>0.47708333333333341</v>
      </c>
      <c r="J20" s="4">
        <f t="shared" si="2"/>
        <v>11.450000000000003</v>
      </c>
      <c r="K20" s="120"/>
      <c r="L20" s="120"/>
      <c r="M20" s="1">
        <f t="shared" si="3"/>
        <v>0</v>
      </c>
      <c r="N20" s="119">
        <v>6.25E-2</v>
      </c>
      <c r="O20" s="1">
        <f t="shared" si="4"/>
        <v>0.41458333333333341</v>
      </c>
      <c r="P20" s="4">
        <f t="shared" si="5"/>
        <v>9.9500000000000028</v>
      </c>
      <c r="Q20" s="5">
        <f t="shared" si="6"/>
        <v>12</v>
      </c>
      <c r="R20" s="5"/>
      <c r="S20" s="1">
        <f>IF(G20&lt;Daten!$T$3,Dienste!G20,0)</f>
        <v>0</v>
      </c>
      <c r="T20" s="1">
        <f>IF(G20&lt;Daten!$T$3,IF(H20&gt;Daten!$T$3,Daten!$T$3,Dienste!H20),0)</f>
        <v>0</v>
      </c>
      <c r="U20" s="1">
        <f>IF(H20*24&gt;Daten!$T$2*24+24, (Daten!$T$2*24+24)/24, 0)</f>
        <v>0</v>
      </c>
      <c r="V20" s="1">
        <f>IF(H20*24&gt;Daten!$T$2*24+24,IF(H20*24&gt;Daten!$T$3*24+24,(Daten!$T$3*24+24)/24,H20),0)</f>
        <v>0</v>
      </c>
      <c r="W20" s="4">
        <f t="shared" si="7"/>
        <v>0</v>
      </c>
    </row>
    <row r="21" spans="2:23">
      <c r="B21" s="46">
        <f t="shared" si="8"/>
        <v>44317</v>
      </c>
      <c r="C21" s="5" t="str">
        <f t="shared" si="0"/>
        <v>44317 Dienst 17</v>
      </c>
      <c r="D21" s="104" t="s">
        <v>224</v>
      </c>
      <c r="E21" s="226"/>
      <c r="F21" s="5" t="str">
        <f t="shared" si="9"/>
        <v>Tour 17</v>
      </c>
      <c r="G21" s="103">
        <v>0.39999999999999997</v>
      </c>
      <c r="H21" s="103">
        <v>0.9291666666666667</v>
      </c>
      <c r="I21" s="1">
        <f t="shared" si="1"/>
        <v>0.52916666666666679</v>
      </c>
      <c r="J21" s="4">
        <f t="shared" si="2"/>
        <v>12.700000000000003</v>
      </c>
      <c r="K21" s="120"/>
      <c r="L21" s="119">
        <v>1.0416666666666666E-2</v>
      </c>
      <c r="M21" s="1">
        <f t="shared" si="3"/>
        <v>1.0416666666666666E-2</v>
      </c>
      <c r="N21" s="119">
        <v>6.25E-2</v>
      </c>
      <c r="O21" s="1">
        <f t="shared" si="4"/>
        <v>0.46666666666666679</v>
      </c>
      <c r="P21" s="4">
        <f t="shared" si="5"/>
        <v>11.200000000000003</v>
      </c>
      <c r="Q21" s="5">
        <f t="shared" si="6"/>
        <v>12</v>
      </c>
      <c r="R21" s="5"/>
      <c r="S21" s="1">
        <f>IF(G21&lt;Daten!$T$3,Dienste!G21,0)</f>
        <v>0</v>
      </c>
      <c r="T21" s="1">
        <f>IF(G21&lt;Daten!$T$3,IF(H21&gt;Daten!$T$3,Daten!$T$3,Dienste!H21),0)</f>
        <v>0</v>
      </c>
      <c r="U21" s="1">
        <f>IF(H21*24&gt;Daten!$T$2*24+24, (Daten!$T$2*24+24)/24, 0)</f>
        <v>0</v>
      </c>
      <c r="V21" s="1">
        <f>IF(H21*24&gt;Daten!$T$2*24+24,IF(H21*24&gt;Daten!$T$3*24+24,(Daten!$T$3*24+24)/24,H21),0)</f>
        <v>0</v>
      </c>
      <c r="W21" s="4">
        <f t="shared" si="7"/>
        <v>0</v>
      </c>
    </row>
    <row r="22" spans="2:23">
      <c r="B22" s="46">
        <f t="shared" si="8"/>
        <v>44317</v>
      </c>
      <c r="C22" s="5" t="str">
        <f t="shared" si="0"/>
        <v>44317 Dienst 18</v>
      </c>
      <c r="D22" s="104" t="s">
        <v>225</v>
      </c>
      <c r="E22" s="226"/>
      <c r="F22" s="5" t="str">
        <f t="shared" si="9"/>
        <v>Tour 18</v>
      </c>
      <c r="G22" s="103">
        <v>0.35694444444444445</v>
      </c>
      <c r="H22" s="103">
        <v>0.92361111111111116</v>
      </c>
      <c r="I22" s="1">
        <f t="shared" si="1"/>
        <v>0.56666666666666665</v>
      </c>
      <c r="J22" s="4">
        <f t="shared" si="2"/>
        <v>13.6</v>
      </c>
      <c r="K22" s="120"/>
      <c r="L22" s="119">
        <v>1.0416666666666666E-2</v>
      </c>
      <c r="M22" s="1">
        <f t="shared" si="3"/>
        <v>1.0416666666666666E-2</v>
      </c>
      <c r="N22" s="119">
        <v>6.25E-2</v>
      </c>
      <c r="O22" s="1">
        <f t="shared" si="4"/>
        <v>0.50416666666666665</v>
      </c>
      <c r="P22" s="4">
        <f t="shared" si="5"/>
        <v>12.1</v>
      </c>
      <c r="Q22" s="5">
        <f t="shared" si="6"/>
        <v>12</v>
      </c>
      <c r="R22" s="5"/>
      <c r="S22" s="1">
        <f>IF(G22&lt;Daten!$T$3,Dienste!G22,0)</f>
        <v>0</v>
      </c>
      <c r="T22" s="1">
        <f>IF(G22&lt;Daten!$T$3,IF(H22&gt;Daten!$T$3,Daten!$T$3,Dienste!H22),0)</f>
        <v>0</v>
      </c>
      <c r="U22" s="1">
        <f>IF(H22*24&gt;Daten!$T$2*24+24, (Daten!$T$2*24+24)/24, 0)</f>
        <v>0</v>
      </c>
      <c r="V22" s="1">
        <f>IF(H22*24&gt;Daten!$T$2*24+24,IF(H22*24&gt;Daten!$T$3*24+24,(Daten!$T$3*24+24)/24,H22),0)</f>
        <v>0</v>
      </c>
      <c r="W22" s="4">
        <f t="shared" si="7"/>
        <v>0</v>
      </c>
    </row>
    <row r="23" spans="2:23">
      <c r="B23" s="46">
        <f t="shared" si="8"/>
        <v>44317</v>
      </c>
      <c r="C23" s="5" t="str">
        <f t="shared" si="0"/>
        <v>44317 Dienst 19</v>
      </c>
      <c r="D23" s="104" t="s">
        <v>226</v>
      </c>
      <c r="E23" s="226"/>
      <c r="F23" s="5" t="str">
        <f t="shared" si="9"/>
        <v>Tour 19</v>
      </c>
      <c r="G23" s="103">
        <v>0.35347222222222219</v>
      </c>
      <c r="H23" s="103">
        <v>0.93611111111111101</v>
      </c>
      <c r="I23" s="1">
        <f t="shared" si="1"/>
        <v>0.58263888888888882</v>
      </c>
      <c r="J23" s="4">
        <f t="shared" si="2"/>
        <v>13.983333333333331</v>
      </c>
      <c r="K23" s="120"/>
      <c r="L23" s="119">
        <v>1.0416666666666666E-2</v>
      </c>
      <c r="M23" s="1">
        <f t="shared" si="3"/>
        <v>1.0416666666666666E-2</v>
      </c>
      <c r="N23" s="119">
        <v>6.25E-2</v>
      </c>
      <c r="O23" s="1">
        <f t="shared" si="4"/>
        <v>0.52013888888888882</v>
      </c>
      <c r="P23" s="4">
        <f t="shared" si="5"/>
        <v>12.483333333333331</v>
      </c>
      <c r="Q23" s="5">
        <f t="shared" si="6"/>
        <v>12</v>
      </c>
      <c r="R23" s="5"/>
      <c r="S23" s="1">
        <f>IF(G23&lt;Daten!$T$3,Dienste!G23,0)</f>
        <v>0</v>
      </c>
      <c r="T23" s="1">
        <f>IF(G23&lt;Daten!$T$3,IF(H23&gt;Daten!$T$3,Daten!$T$3,Dienste!H23),0)</f>
        <v>0</v>
      </c>
      <c r="U23" s="1">
        <f>IF(H23*24&gt;Daten!$T$2*24+24, (Daten!$T$2*24+24)/24, 0)</f>
        <v>0</v>
      </c>
      <c r="V23" s="1">
        <f>IF(H23*24&gt;Daten!$T$2*24+24,IF(H23*24&gt;Daten!$T$3*24+24,(Daten!$T$3*24+24)/24,H23),0)</f>
        <v>0</v>
      </c>
      <c r="W23" s="4">
        <f t="shared" si="7"/>
        <v>0</v>
      </c>
    </row>
    <row r="24" spans="2:23">
      <c r="B24" s="46">
        <f t="shared" si="8"/>
        <v>44317</v>
      </c>
      <c r="C24" s="5" t="str">
        <f t="shared" si="0"/>
        <v>44317 Dienst 20</v>
      </c>
      <c r="D24" s="104" t="s">
        <v>227</v>
      </c>
      <c r="E24" s="226"/>
      <c r="F24" s="5" t="str">
        <f t="shared" si="9"/>
        <v>Tour 20</v>
      </c>
      <c r="G24" s="103">
        <v>0.58472222222222225</v>
      </c>
      <c r="H24" s="103">
        <v>0.96250000000000002</v>
      </c>
      <c r="I24" s="1">
        <f t="shared" si="1"/>
        <v>0.37777777777777777</v>
      </c>
      <c r="J24" s="4">
        <f t="shared" si="2"/>
        <v>9.0666666666666664</v>
      </c>
      <c r="K24" s="120"/>
      <c r="L24" s="119">
        <v>1.0416666666666666E-2</v>
      </c>
      <c r="M24" s="1">
        <f t="shared" si="3"/>
        <v>1.0416666666666666E-2</v>
      </c>
      <c r="N24" s="119">
        <v>2.361111111111111E-2</v>
      </c>
      <c r="O24" s="1">
        <f t="shared" si="4"/>
        <v>0.35416666666666663</v>
      </c>
      <c r="P24" s="4">
        <f t="shared" si="5"/>
        <v>8.5</v>
      </c>
      <c r="Q24" s="5">
        <f t="shared" si="6"/>
        <v>9</v>
      </c>
      <c r="R24" s="5"/>
      <c r="S24" s="1">
        <f>IF(G24&lt;Daten!$T$3,Dienste!G24,0)</f>
        <v>0</v>
      </c>
      <c r="T24" s="1">
        <f>IF(G24&lt;Daten!$T$3,IF(H24&gt;Daten!$T$3,Daten!$T$3,Dienste!H24),0)</f>
        <v>0</v>
      </c>
      <c r="U24" s="1">
        <f>IF(H24*24&gt;Daten!$T$2*24+24, (Daten!$T$2*24+24)/24, 0)</f>
        <v>0</v>
      </c>
      <c r="V24" s="1">
        <f>IF(H24*24&gt;Daten!$T$2*24+24,IF(H24*24&gt;Daten!$T$3*24+24,(Daten!$T$3*24+24)/24,H24),0)</f>
        <v>0</v>
      </c>
      <c r="W24" s="4">
        <f t="shared" si="7"/>
        <v>0</v>
      </c>
    </row>
    <row r="25" spans="2:23">
      <c r="B25" s="46">
        <f t="shared" si="8"/>
        <v>44317</v>
      </c>
      <c r="C25" s="5" t="str">
        <f t="shared" si="0"/>
        <v>44317 Dienst 21</v>
      </c>
      <c r="D25" s="104" t="s">
        <v>228</v>
      </c>
      <c r="E25" s="226"/>
      <c r="F25" s="5" t="str">
        <f t="shared" si="9"/>
        <v>Tour 21</v>
      </c>
      <c r="G25" s="103">
        <v>0.37361111111111112</v>
      </c>
      <c r="H25" s="103">
        <v>0.96319444444444446</v>
      </c>
      <c r="I25" s="1">
        <f t="shared" si="1"/>
        <v>0.58958333333333335</v>
      </c>
      <c r="J25" s="4">
        <f t="shared" si="2"/>
        <v>14.15</v>
      </c>
      <c r="K25" s="120"/>
      <c r="L25" s="119">
        <v>1.0416666666666666E-2</v>
      </c>
      <c r="M25" s="1">
        <f t="shared" si="3"/>
        <v>1.0416666666666666E-2</v>
      </c>
      <c r="N25" s="119">
        <v>6.25E-2</v>
      </c>
      <c r="O25" s="1">
        <f t="shared" si="4"/>
        <v>0.52708333333333335</v>
      </c>
      <c r="P25" s="4">
        <f t="shared" si="5"/>
        <v>12.65</v>
      </c>
      <c r="Q25" s="5">
        <f t="shared" si="6"/>
        <v>12</v>
      </c>
      <c r="R25" s="5"/>
      <c r="S25" s="1">
        <f>IF(G25&lt;Daten!$T$3,Dienste!G25,0)</f>
        <v>0</v>
      </c>
      <c r="T25" s="1">
        <f>IF(G25&lt;Daten!$T$3,IF(H25&gt;Daten!$T$3,Daten!$T$3,Dienste!H25),0)</f>
        <v>0</v>
      </c>
      <c r="U25" s="1">
        <f>IF(H25*24&gt;Daten!$T$2*24+24, (Daten!$T$2*24+24)/24, 0)</f>
        <v>0</v>
      </c>
      <c r="V25" s="1">
        <f>IF(H25*24&gt;Daten!$T$2*24+24,IF(H25*24&gt;Daten!$T$3*24+24,(Daten!$T$3*24+24)/24,H25),0)</f>
        <v>0</v>
      </c>
      <c r="W25" s="4">
        <f t="shared" si="7"/>
        <v>0</v>
      </c>
    </row>
    <row r="26" spans="2:23">
      <c r="B26" s="46">
        <f t="shared" si="8"/>
        <v>44317</v>
      </c>
      <c r="C26" s="5" t="str">
        <f t="shared" si="0"/>
        <v>44317 Dienst 22</v>
      </c>
      <c r="D26" s="104" t="s">
        <v>229</v>
      </c>
      <c r="E26" s="226"/>
      <c r="F26" s="5" t="str">
        <f t="shared" si="9"/>
        <v>Tour 22</v>
      </c>
      <c r="G26" s="103">
        <v>0.62013888888888891</v>
      </c>
      <c r="H26" s="103">
        <v>0.96319444444444446</v>
      </c>
      <c r="I26" s="1">
        <f t="shared" si="1"/>
        <v>0.34305555555555556</v>
      </c>
      <c r="J26" s="4">
        <f t="shared" si="2"/>
        <v>8.2333333333333343</v>
      </c>
      <c r="K26" s="120"/>
      <c r="L26" s="119">
        <v>1.0416666666666666E-2</v>
      </c>
      <c r="M26" s="1">
        <f t="shared" si="3"/>
        <v>1.0416666666666666E-2</v>
      </c>
      <c r="N26" s="119">
        <v>5.4166666666666669E-2</v>
      </c>
      <c r="O26" s="1">
        <f t="shared" si="4"/>
        <v>0.28888888888888886</v>
      </c>
      <c r="P26" s="4">
        <f t="shared" si="5"/>
        <v>6.9333333333333327</v>
      </c>
      <c r="Q26" s="5">
        <f t="shared" si="6"/>
        <v>8</v>
      </c>
      <c r="R26" s="5"/>
      <c r="S26" s="1">
        <f>IF(G26&lt;Daten!$T$3,Dienste!G26,0)</f>
        <v>0</v>
      </c>
      <c r="T26" s="1">
        <f>IF(G26&lt;Daten!$T$3,IF(H26&gt;Daten!$T$3,Daten!$T$3,Dienste!H26),0)</f>
        <v>0</v>
      </c>
      <c r="U26" s="1">
        <f>IF(H26*24&gt;Daten!$T$2*24+24, (Daten!$T$2*24+24)/24, 0)</f>
        <v>0</v>
      </c>
      <c r="V26" s="1">
        <f>IF(H26*24&gt;Daten!$T$2*24+24,IF(H26*24&gt;Daten!$T$3*24+24,(Daten!$T$3*24+24)/24,H26),0)</f>
        <v>0</v>
      </c>
      <c r="W26" s="4">
        <f t="shared" si="7"/>
        <v>0</v>
      </c>
    </row>
    <row r="27" spans="2:23">
      <c r="B27" s="46">
        <f t="shared" si="8"/>
        <v>44317</v>
      </c>
      <c r="C27" s="5" t="str">
        <f t="shared" si="0"/>
        <v>44317 Dienst 23 mR</v>
      </c>
      <c r="D27" s="104" t="s">
        <v>230</v>
      </c>
      <c r="E27" s="226"/>
      <c r="F27" s="5" t="str">
        <f t="shared" si="9"/>
        <v>Tour 23 mR</v>
      </c>
      <c r="G27" s="103">
        <v>0.64722222222222225</v>
      </c>
      <c r="H27" s="103">
        <v>0.9458333333333333</v>
      </c>
      <c r="I27" s="1">
        <f t="shared" si="1"/>
        <v>0.29861111111111105</v>
      </c>
      <c r="J27" s="4">
        <f t="shared" si="2"/>
        <v>7.1666666666666652</v>
      </c>
      <c r="K27" s="120"/>
      <c r="L27" s="119">
        <v>1.2499999999999999E-2</v>
      </c>
      <c r="M27" s="1">
        <f t="shared" si="3"/>
        <v>1.2499999999999999E-2</v>
      </c>
      <c r="N27" s="119">
        <v>2.2222222222222223E-2</v>
      </c>
      <c r="O27" s="1">
        <f t="shared" si="4"/>
        <v>0.27638888888888885</v>
      </c>
      <c r="P27" s="4">
        <f t="shared" si="5"/>
        <v>6.6333333333333329</v>
      </c>
      <c r="Q27" s="5">
        <f t="shared" si="6"/>
        <v>7</v>
      </c>
      <c r="R27" s="5"/>
      <c r="S27" s="1">
        <f>IF(G27&lt;Daten!$T$3,Dienste!G27,0)</f>
        <v>0</v>
      </c>
      <c r="T27" s="1">
        <f>IF(G27&lt;Daten!$T$3,IF(H27&gt;Daten!$T$3,Daten!$T$3,Dienste!H27),0)</f>
        <v>0</v>
      </c>
      <c r="U27" s="1">
        <f>IF(H27*24&gt;Daten!$T$2*24+24, (Daten!$T$2*24+24)/24, 0)</f>
        <v>0</v>
      </c>
      <c r="V27" s="1">
        <f>IF(H27*24&gt;Daten!$T$2*24+24,IF(H27*24&gt;Daten!$T$3*24+24,(Daten!$T$3*24+24)/24,H27),0)</f>
        <v>0</v>
      </c>
      <c r="W27" s="4">
        <f t="shared" si="7"/>
        <v>0</v>
      </c>
    </row>
    <row r="28" spans="2:23">
      <c r="B28" s="46">
        <f t="shared" si="8"/>
        <v>44317</v>
      </c>
      <c r="C28" s="5" t="str">
        <f t="shared" si="0"/>
        <v>44317 Dienst 23 oR</v>
      </c>
      <c r="D28" s="104" t="s">
        <v>231</v>
      </c>
      <c r="E28" s="226"/>
      <c r="F28" s="5" t="str">
        <f t="shared" si="9"/>
        <v>Tour 23 oR</v>
      </c>
      <c r="G28" s="103">
        <v>0.64722222222222225</v>
      </c>
      <c r="H28" s="103">
        <v>0.93541666666666667</v>
      </c>
      <c r="I28" s="1">
        <f t="shared" si="1"/>
        <v>0.28819444444444442</v>
      </c>
      <c r="J28" s="4">
        <f t="shared" si="2"/>
        <v>6.9166666666666661</v>
      </c>
      <c r="K28" s="120"/>
      <c r="L28" s="119">
        <v>1.0416666666666666E-2</v>
      </c>
      <c r="M28" s="1">
        <f t="shared" si="3"/>
        <v>1.0416666666666666E-2</v>
      </c>
      <c r="N28" s="119">
        <v>2.2222222222222223E-2</v>
      </c>
      <c r="O28" s="1">
        <f t="shared" si="4"/>
        <v>0.27083333333333331</v>
      </c>
      <c r="P28" s="4">
        <f t="shared" si="5"/>
        <v>6.5</v>
      </c>
      <c r="Q28" s="5">
        <f t="shared" si="6"/>
        <v>7</v>
      </c>
      <c r="R28" s="5"/>
      <c r="S28" s="1">
        <f>IF(G28&lt;Daten!$T$3,Dienste!G28,0)</f>
        <v>0</v>
      </c>
      <c r="T28" s="1">
        <f>IF(G28&lt;Daten!$T$3,IF(H28&gt;Daten!$T$3,Daten!$T$3,Dienste!H28),0)</f>
        <v>0</v>
      </c>
      <c r="U28" s="1">
        <f>IF(H28*24&gt;Daten!$T$2*24+24, (Daten!$T$2*24+24)/24, 0)</f>
        <v>0</v>
      </c>
      <c r="V28" s="1">
        <f>IF(H28*24&gt;Daten!$T$2*24+24,IF(H28*24&gt;Daten!$T$3*24+24,(Daten!$T$3*24+24)/24,H28),0)</f>
        <v>0</v>
      </c>
      <c r="W28" s="4">
        <f t="shared" si="7"/>
        <v>0</v>
      </c>
    </row>
    <row r="29" spans="2:23">
      <c r="B29" s="46">
        <f t="shared" si="8"/>
        <v>44317</v>
      </c>
      <c r="C29" s="5" t="str">
        <f t="shared" si="0"/>
        <v>44317 Dienst 24 mR</v>
      </c>
      <c r="D29" s="104" t="s">
        <v>232</v>
      </c>
      <c r="E29" s="226"/>
      <c r="F29" s="5" t="str">
        <f t="shared" si="9"/>
        <v>Tour 24 mR</v>
      </c>
      <c r="G29" s="103">
        <v>0.62638888888888888</v>
      </c>
      <c r="H29" s="103">
        <v>0.9243055555555556</v>
      </c>
      <c r="I29" s="1">
        <f t="shared" si="1"/>
        <v>0.29791666666666672</v>
      </c>
      <c r="J29" s="4">
        <f t="shared" si="2"/>
        <v>7.1500000000000012</v>
      </c>
      <c r="K29" s="120"/>
      <c r="L29" s="119">
        <v>1.2499999999999999E-2</v>
      </c>
      <c r="M29" s="1">
        <f t="shared" si="3"/>
        <v>1.2499999999999999E-2</v>
      </c>
      <c r="N29" s="119">
        <v>1.9444444444444445E-2</v>
      </c>
      <c r="O29" s="1">
        <f t="shared" si="4"/>
        <v>0.27847222222222229</v>
      </c>
      <c r="P29" s="4">
        <f t="shared" si="5"/>
        <v>6.6833333333333353</v>
      </c>
      <c r="Q29" s="5">
        <f t="shared" si="6"/>
        <v>7</v>
      </c>
      <c r="R29" s="5"/>
      <c r="S29" s="1">
        <f>IF(G29&lt;Daten!$T$3,Dienste!G29,0)</f>
        <v>0</v>
      </c>
      <c r="T29" s="1">
        <f>IF(G29&lt;Daten!$T$3,IF(H29&gt;Daten!$T$3,Daten!$T$3,Dienste!H29),0)</f>
        <v>0</v>
      </c>
      <c r="U29" s="1">
        <f>IF(H29*24&gt;Daten!$T$2*24+24, (Daten!$T$2*24+24)/24, 0)</f>
        <v>0</v>
      </c>
      <c r="V29" s="1">
        <f>IF(H29*24&gt;Daten!$T$2*24+24,IF(H29*24&gt;Daten!$T$3*24+24,(Daten!$T$3*24+24)/24,H29),0)</f>
        <v>0</v>
      </c>
      <c r="W29" s="4">
        <f t="shared" si="7"/>
        <v>0</v>
      </c>
    </row>
    <row r="30" spans="2:23">
      <c r="B30" s="46">
        <f t="shared" si="8"/>
        <v>44317</v>
      </c>
      <c r="C30" s="5" t="str">
        <f t="shared" si="0"/>
        <v>44317 Dienst 24 oR</v>
      </c>
      <c r="D30" s="104" t="s">
        <v>233</v>
      </c>
      <c r="E30" s="226"/>
      <c r="F30" s="5" t="str">
        <f t="shared" si="9"/>
        <v>Tour 24 oR</v>
      </c>
      <c r="G30" s="103">
        <v>0.62638888888888888</v>
      </c>
      <c r="H30" s="103">
        <v>0.91388888888888886</v>
      </c>
      <c r="I30" s="1">
        <f t="shared" si="1"/>
        <v>0.28749999999999998</v>
      </c>
      <c r="J30" s="4">
        <f t="shared" si="2"/>
        <v>6.8999999999999995</v>
      </c>
      <c r="K30" s="120"/>
      <c r="L30" s="119">
        <v>1.0416666666666666E-2</v>
      </c>
      <c r="M30" s="1">
        <f t="shared" si="3"/>
        <v>1.0416666666666666E-2</v>
      </c>
      <c r="N30" s="119">
        <v>1.9444444444444445E-2</v>
      </c>
      <c r="O30" s="1">
        <f t="shared" si="4"/>
        <v>0.27083333333333331</v>
      </c>
      <c r="P30" s="4">
        <f t="shared" si="5"/>
        <v>6.5</v>
      </c>
      <c r="Q30" s="5">
        <f t="shared" si="6"/>
        <v>7</v>
      </c>
      <c r="R30" s="5"/>
      <c r="S30" s="1">
        <f>IF(G30&lt;Daten!$T$3,Dienste!G30,0)</f>
        <v>0</v>
      </c>
      <c r="T30" s="1">
        <f>IF(G30&lt;Daten!$T$3,IF(H30&gt;Daten!$T$3,Daten!$T$3,Dienste!H30),0)</f>
        <v>0</v>
      </c>
      <c r="U30" s="1">
        <f>IF(H30*24&gt;Daten!$T$2*24+24, (Daten!$T$2*24+24)/24, 0)</f>
        <v>0</v>
      </c>
      <c r="V30" s="1">
        <f>IF(H30*24&gt;Daten!$T$2*24+24,IF(H30*24&gt;Daten!$T$3*24+24,(Daten!$T$3*24+24)/24,H30),0)</f>
        <v>0</v>
      </c>
      <c r="W30" s="4">
        <f t="shared" si="7"/>
        <v>0</v>
      </c>
    </row>
    <row r="31" spans="2:23">
      <c r="B31" s="46">
        <f t="shared" si="8"/>
        <v>44317</v>
      </c>
      <c r="C31" s="5" t="str">
        <f t="shared" si="0"/>
        <v>44317 Dienst 25</v>
      </c>
      <c r="D31" s="104" t="s">
        <v>234</v>
      </c>
      <c r="E31" s="226"/>
      <c r="F31" s="5" t="str">
        <f t="shared" si="9"/>
        <v>Tour 25</v>
      </c>
      <c r="G31" s="103">
        <v>0.59930555555555554</v>
      </c>
      <c r="H31" s="103">
        <v>0.9458333333333333</v>
      </c>
      <c r="I31" s="1">
        <f t="shared" si="1"/>
        <v>0.34652777777777777</v>
      </c>
      <c r="J31" s="4">
        <f t="shared" si="2"/>
        <v>8.3166666666666664</v>
      </c>
      <c r="K31" s="120"/>
      <c r="L31" s="119">
        <v>1.0416666666666666E-2</v>
      </c>
      <c r="M31" s="1">
        <f t="shared" si="3"/>
        <v>1.0416666666666666E-2</v>
      </c>
      <c r="N31" s="119">
        <v>5.5555555555555552E-2</v>
      </c>
      <c r="O31" s="1">
        <f t="shared" si="4"/>
        <v>0.29097222222222219</v>
      </c>
      <c r="P31" s="4">
        <f t="shared" si="5"/>
        <v>6.9833333333333325</v>
      </c>
      <c r="Q31" s="5">
        <f t="shared" si="6"/>
        <v>9</v>
      </c>
      <c r="R31" s="5"/>
      <c r="S31" s="1">
        <f>IF(G31&lt;Daten!$T$3,Dienste!G31,0)</f>
        <v>0</v>
      </c>
      <c r="T31" s="1">
        <f>IF(G31&lt;Daten!$T$3,IF(H31&gt;Daten!$T$3,Daten!$T$3,Dienste!H31),0)</f>
        <v>0</v>
      </c>
      <c r="U31" s="1">
        <f>IF(H31*24&gt;Daten!$T$2*24+24, (Daten!$T$2*24+24)/24, 0)</f>
        <v>0</v>
      </c>
      <c r="V31" s="1">
        <f>IF(H31*24&gt;Daten!$T$2*24+24,IF(H31*24&gt;Daten!$T$3*24+24,(Daten!$T$3*24+24)/24,H31),0)</f>
        <v>0</v>
      </c>
      <c r="W31" s="4">
        <f t="shared" si="7"/>
        <v>0</v>
      </c>
    </row>
    <row r="32" spans="2:23">
      <c r="B32" s="46">
        <f t="shared" si="8"/>
        <v>44317</v>
      </c>
      <c r="C32" s="5" t="str">
        <f t="shared" si="0"/>
        <v>44317 Dienst 26</v>
      </c>
      <c r="D32" s="104" t="s">
        <v>235</v>
      </c>
      <c r="E32" s="226"/>
      <c r="F32" s="5" t="str">
        <f t="shared" si="9"/>
        <v>Tour 26</v>
      </c>
      <c r="G32" s="103">
        <v>0.60277777777777775</v>
      </c>
      <c r="H32" s="103">
        <v>0.95277777777777783</v>
      </c>
      <c r="I32" s="1">
        <f t="shared" si="1"/>
        <v>0.35000000000000009</v>
      </c>
      <c r="J32" s="4">
        <f t="shared" si="2"/>
        <v>8.4000000000000021</v>
      </c>
      <c r="K32" s="120"/>
      <c r="L32" s="119">
        <v>1.0416666666666666E-2</v>
      </c>
      <c r="M32" s="1">
        <f t="shared" si="3"/>
        <v>1.0416666666666666E-2</v>
      </c>
      <c r="N32" s="119">
        <v>5.6944444444444443E-2</v>
      </c>
      <c r="O32" s="1">
        <f t="shared" si="4"/>
        <v>0.29305555555555562</v>
      </c>
      <c r="P32" s="4">
        <f t="shared" si="5"/>
        <v>7.033333333333335</v>
      </c>
      <c r="Q32" s="5">
        <f t="shared" si="6"/>
        <v>9</v>
      </c>
      <c r="R32" s="5"/>
      <c r="S32" s="1">
        <f>IF(G32&lt;Daten!$T$3,Dienste!G32,0)</f>
        <v>0</v>
      </c>
      <c r="T32" s="1">
        <f>IF(G32&lt;Daten!$T$3,IF(H32&gt;Daten!$T$3,Daten!$T$3,Dienste!H32),0)</f>
        <v>0</v>
      </c>
      <c r="U32" s="1">
        <f>IF(H32*24&gt;Daten!$T$2*24+24, (Daten!$T$2*24+24)/24, 0)</f>
        <v>0</v>
      </c>
      <c r="V32" s="1">
        <f>IF(H32*24&gt;Daten!$T$2*24+24,IF(H32*24&gt;Daten!$T$3*24+24,(Daten!$T$3*24+24)/24,H32),0)</f>
        <v>0</v>
      </c>
      <c r="W32" s="4">
        <f t="shared" si="7"/>
        <v>0</v>
      </c>
    </row>
    <row r="33" spans="2:23">
      <c r="B33" s="46">
        <f t="shared" si="8"/>
        <v>44317</v>
      </c>
      <c r="C33" s="5" t="str">
        <f t="shared" si="0"/>
        <v>44317 Dienst 27</v>
      </c>
      <c r="D33" s="104" t="s">
        <v>236</v>
      </c>
      <c r="E33" s="226"/>
      <c r="F33" s="5" t="str">
        <f t="shared" si="9"/>
        <v>Tour 27</v>
      </c>
      <c r="G33" s="103">
        <v>0.60347222222222219</v>
      </c>
      <c r="H33" s="103">
        <v>0.94513888888888886</v>
      </c>
      <c r="I33" s="1">
        <f t="shared" si="1"/>
        <v>0.34166666666666667</v>
      </c>
      <c r="J33" s="4">
        <f t="shared" si="2"/>
        <v>8.1999999999999993</v>
      </c>
      <c r="K33" s="120"/>
      <c r="L33" s="119">
        <v>1.0416666666666666E-2</v>
      </c>
      <c r="M33" s="1">
        <f t="shared" si="3"/>
        <v>1.0416666666666666E-2</v>
      </c>
      <c r="N33" s="119">
        <v>4.8611111111111112E-2</v>
      </c>
      <c r="O33" s="1">
        <f t="shared" si="4"/>
        <v>0.29305555555555557</v>
      </c>
      <c r="P33" s="4">
        <f t="shared" si="5"/>
        <v>7.0333333333333332</v>
      </c>
      <c r="Q33" s="5">
        <f t="shared" si="6"/>
        <v>8</v>
      </c>
      <c r="R33" s="5"/>
      <c r="S33" s="1">
        <f>IF(G33&lt;Daten!$T$3,Dienste!G33,0)</f>
        <v>0</v>
      </c>
      <c r="T33" s="1">
        <f>IF(G33&lt;Daten!$T$3,IF(H33&gt;Daten!$T$3,Daten!$T$3,Dienste!H33),0)</f>
        <v>0</v>
      </c>
      <c r="U33" s="1">
        <f>IF(H33*24&gt;Daten!$T$2*24+24, (Daten!$T$2*24+24)/24, 0)</f>
        <v>0</v>
      </c>
      <c r="V33" s="1">
        <f>IF(H33*24&gt;Daten!$T$2*24+24,IF(H33*24&gt;Daten!$T$3*24+24,(Daten!$T$3*24+24)/24,H33),0)</f>
        <v>0</v>
      </c>
      <c r="W33" s="4">
        <f t="shared" si="7"/>
        <v>0</v>
      </c>
    </row>
    <row r="34" spans="2:23">
      <c r="B34" s="46">
        <f t="shared" si="8"/>
        <v>44317</v>
      </c>
      <c r="C34" s="5" t="str">
        <f t="shared" si="0"/>
        <v>44317 Dienst 28</v>
      </c>
      <c r="D34" s="104" t="s">
        <v>237</v>
      </c>
      <c r="E34" s="226"/>
      <c r="F34" s="5" t="str">
        <f t="shared" si="9"/>
        <v>Tour 28</v>
      </c>
      <c r="G34" s="103">
        <v>0.62361111111111112</v>
      </c>
      <c r="H34" s="103">
        <v>0.9604166666666667</v>
      </c>
      <c r="I34" s="1">
        <f t="shared" si="1"/>
        <v>0.33680555555555558</v>
      </c>
      <c r="J34" s="4">
        <f t="shared" si="2"/>
        <v>8.0833333333333339</v>
      </c>
      <c r="K34" s="120"/>
      <c r="L34" s="119">
        <v>1.0416666666666666E-2</v>
      </c>
      <c r="M34" s="1">
        <f t="shared" si="3"/>
        <v>1.0416666666666666E-2</v>
      </c>
      <c r="N34" s="119">
        <v>4.1666666666666664E-2</v>
      </c>
      <c r="O34" s="1">
        <f t="shared" si="4"/>
        <v>0.2951388888888889</v>
      </c>
      <c r="P34" s="4">
        <f t="shared" si="5"/>
        <v>7.0833333333333339</v>
      </c>
      <c r="Q34" s="5">
        <f t="shared" si="6"/>
        <v>8</v>
      </c>
      <c r="R34" s="5"/>
      <c r="S34" s="1">
        <f>IF(G34&lt;Daten!$T$3,Dienste!G34,0)</f>
        <v>0</v>
      </c>
      <c r="T34" s="1">
        <f>IF(G34&lt;Daten!$T$3,IF(H34&gt;Daten!$T$3,Daten!$T$3,Dienste!H34),0)</f>
        <v>0</v>
      </c>
      <c r="U34" s="1">
        <f>IF(H34*24&gt;Daten!$T$2*24+24, (Daten!$T$2*24+24)/24, 0)</f>
        <v>0</v>
      </c>
      <c r="V34" s="1">
        <f>IF(H34*24&gt;Daten!$T$2*24+24,IF(H34*24&gt;Daten!$T$3*24+24,(Daten!$T$3*24+24)/24,H34),0)</f>
        <v>0</v>
      </c>
      <c r="W34" s="4">
        <f t="shared" si="7"/>
        <v>0</v>
      </c>
    </row>
    <row r="35" spans="2:23">
      <c r="B35" s="46">
        <f t="shared" si="8"/>
        <v>44317</v>
      </c>
      <c r="C35" s="5" t="str">
        <f t="shared" si="0"/>
        <v>44317 Dienst 1 Sa</v>
      </c>
      <c r="D35" s="104" t="s">
        <v>238</v>
      </c>
      <c r="E35" s="226" t="s">
        <v>3</v>
      </c>
      <c r="F35" s="5" t="str">
        <f t="shared" si="9"/>
        <v>Tour 1 Sa</v>
      </c>
      <c r="G35" s="103">
        <v>0.23819444444444446</v>
      </c>
      <c r="H35" s="103">
        <v>0.74444444444444446</v>
      </c>
      <c r="I35" s="1">
        <f t="shared" si="1"/>
        <v>0.50624999999999998</v>
      </c>
      <c r="J35" s="4">
        <f t="shared" si="2"/>
        <v>12.149999999999999</v>
      </c>
      <c r="K35" s="119">
        <v>6.9444444444444441E-3</v>
      </c>
      <c r="L35" s="120"/>
      <c r="M35" s="1">
        <f t="shared" si="3"/>
        <v>6.9444444444444441E-3</v>
      </c>
      <c r="N35" s="119">
        <v>4.1666666666666664E-2</v>
      </c>
      <c r="O35" s="1">
        <f t="shared" si="4"/>
        <v>0.46458333333333329</v>
      </c>
      <c r="P35" s="4">
        <f t="shared" si="5"/>
        <v>11.149999999999999</v>
      </c>
      <c r="Q35" s="5">
        <f t="shared" si="6"/>
        <v>12</v>
      </c>
      <c r="R35" s="5"/>
      <c r="S35" s="1">
        <f>IF(G35&lt;Daten!$T$3,Dienste!G35,0)</f>
        <v>0</v>
      </c>
      <c r="T35" s="1">
        <f>IF(G35&lt;Daten!$T$3,IF(H35&gt;Daten!$T$3,Daten!$T$3,Dienste!H35),0)</f>
        <v>0</v>
      </c>
      <c r="U35" s="1">
        <f>IF(H35*24&gt;Daten!$T$2*24+24, (Daten!$T$2*24+24)/24, 0)</f>
        <v>0</v>
      </c>
      <c r="V35" s="1">
        <f>IF(H35*24&gt;Daten!$T$2*24+24,IF(H35*24&gt;Daten!$T$3*24+24,(Daten!$T$3*24+24)/24,H35),0)</f>
        <v>0</v>
      </c>
      <c r="W35" s="4">
        <f t="shared" si="7"/>
        <v>0</v>
      </c>
    </row>
    <row r="36" spans="2:23">
      <c r="B36" s="46">
        <f t="shared" si="8"/>
        <v>44317</v>
      </c>
      <c r="C36" s="5" t="str">
        <f t="shared" si="0"/>
        <v>44317 Dienst 2 Sa</v>
      </c>
      <c r="D36" s="104" t="s">
        <v>239</v>
      </c>
      <c r="E36" s="226"/>
      <c r="F36" s="5" t="str">
        <f t="shared" si="9"/>
        <v>Tour 2 Sa</v>
      </c>
      <c r="G36" s="103">
        <v>0.2590277777777778</v>
      </c>
      <c r="H36" s="103">
        <v>0.75208333333333333</v>
      </c>
      <c r="I36" s="1">
        <f t="shared" si="1"/>
        <v>0.49305555555555552</v>
      </c>
      <c r="J36" s="4">
        <f t="shared" si="2"/>
        <v>11.833333333333332</v>
      </c>
      <c r="K36" s="119">
        <v>6.9444444444444441E-3</v>
      </c>
      <c r="L36" s="120"/>
      <c r="M36" s="1">
        <f t="shared" si="3"/>
        <v>6.9444444444444441E-3</v>
      </c>
      <c r="N36" s="119">
        <v>6.25E-2</v>
      </c>
      <c r="O36" s="1">
        <f t="shared" si="4"/>
        <v>0.43055555555555552</v>
      </c>
      <c r="P36" s="4">
        <f t="shared" si="5"/>
        <v>10.333333333333332</v>
      </c>
      <c r="Q36" s="5">
        <f t="shared" si="6"/>
        <v>12</v>
      </c>
      <c r="R36" s="5"/>
      <c r="S36" s="1">
        <f>IF(G36&lt;Daten!$T$3,Dienste!G36,0)</f>
        <v>0</v>
      </c>
      <c r="T36" s="1">
        <f>IF(G36&lt;Daten!$T$3,IF(H36&gt;Daten!$T$3,Daten!$T$3,Dienste!H36),0)</f>
        <v>0</v>
      </c>
      <c r="U36" s="1">
        <f>IF(H36*24&gt;Daten!$T$2*24+24, (Daten!$T$2*24+24)/24, 0)</f>
        <v>0</v>
      </c>
      <c r="V36" s="1">
        <f>IF(H36*24&gt;Daten!$T$2*24+24,IF(H36*24&gt;Daten!$T$3*24+24,(Daten!$T$3*24+24)/24,H36),0)</f>
        <v>0</v>
      </c>
      <c r="W36" s="4">
        <f t="shared" si="7"/>
        <v>0</v>
      </c>
    </row>
    <row r="37" spans="2:23">
      <c r="B37" s="46">
        <f t="shared" si="8"/>
        <v>44317</v>
      </c>
      <c r="C37" s="5" t="str">
        <f t="shared" si="0"/>
        <v>44317 Dienst 3 Sa</v>
      </c>
      <c r="D37" s="104" t="s">
        <v>240</v>
      </c>
      <c r="E37" s="226"/>
      <c r="F37" s="5" t="str">
        <f t="shared" si="9"/>
        <v>Tour 3 Sa</v>
      </c>
      <c r="G37" s="103">
        <v>0.24236111111111111</v>
      </c>
      <c r="H37" s="103">
        <v>0.60277777777777775</v>
      </c>
      <c r="I37" s="1">
        <f t="shared" si="1"/>
        <v>0.36041666666666661</v>
      </c>
      <c r="J37" s="4">
        <f t="shared" si="2"/>
        <v>8.6499999999999986</v>
      </c>
      <c r="K37" s="119">
        <v>6.9444444444444441E-3</v>
      </c>
      <c r="L37" s="120"/>
      <c r="M37" s="1">
        <f t="shared" si="3"/>
        <v>6.9444444444444441E-3</v>
      </c>
      <c r="N37" s="119">
        <v>4.7222222222222221E-2</v>
      </c>
      <c r="O37" s="1">
        <f t="shared" si="4"/>
        <v>0.31319444444444439</v>
      </c>
      <c r="P37" s="4">
        <f t="shared" si="5"/>
        <v>7.5166666666666657</v>
      </c>
      <c r="Q37" s="5">
        <f t="shared" si="6"/>
        <v>9</v>
      </c>
      <c r="R37" s="5"/>
      <c r="S37" s="1">
        <f>IF(G37&lt;Daten!$T$3,Dienste!G37,0)</f>
        <v>0</v>
      </c>
      <c r="T37" s="1">
        <f>IF(G37&lt;Daten!$T$3,IF(H37&gt;Daten!$T$3,Daten!$T$3,Dienste!H37),0)</f>
        <v>0</v>
      </c>
      <c r="U37" s="1">
        <f>IF(H37*24&gt;Daten!$T$2*24+24, (Daten!$T$2*24+24)/24, 0)</f>
        <v>0</v>
      </c>
      <c r="V37" s="1">
        <f>IF(H37*24&gt;Daten!$T$2*24+24,IF(H37*24&gt;Daten!$T$3*24+24,(Daten!$T$3*24+24)/24,H37),0)</f>
        <v>0</v>
      </c>
      <c r="W37" s="4">
        <f t="shared" si="7"/>
        <v>0</v>
      </c>
    </row>
    <row r="38" spans="2:23">
      <c r="B38" s="46">
        <f t="shared" si="8"/>
        <v>44317</v>
      </c>
      <c r="C38" s="5" t="str">
        <f t="shared" si="0"/>
        <v>44317 Dienst 4 Sa</v>
      </c>
      <c r="D38" s="104" t="s">
        <v>241</v>
      </c>
      <c r="E38" s="226"/>
      <c r="F38" s="5" t="str">
        <f t="shared" si="9"/>
        <v>Tour 4 Sa</v>
      </c>
      <c r="G38" s="103">
        <v>0.22916666666666666</v>
      </c>
      <c r="H38" s="103">
        <v>0.62361111111111112</v>
      </c>
      <c r="I38" s="1">
        <f t="shared" si="1"/>
        <v>0.39444444444444449</v>
      </c>
      <c r="J38" s="4">
        <f t="shared" si="2"/>
        <v>9.4666666666666686</v>
      </c>
      <c r="K38" s="119">
        <v>6.9444444444444441E-3</v>
      </c>
      <c r="L38" s="120"/>
      <c r="M38" s="1">
        <f t="shared" si="3"/>
        <v>6.9444444444444441E-3</v>
      </c>
      <c r="N38" s="119">
        <v>4.7222222222222221E-2</v>
      </c>
      <c r="O38" s="1">
        <f t="shared" si="4"/>
        <v>0.34722222222222227</v>
      </c>
      <c r="P38" s="4">
        <f t="shared" si="5"/>
        <v>8.3333333333333339</v>
      </c>
      <c r="Q38" s="5">
        <f t="shared" si="6"/>
        <v>10</v>
      </c>
      <c r="R38" s="5"/>
      <c r="S38" s="1">
        <f>IF(G38&lt;Daten!$T$3,Dienste!G38,0)</f>
        <v>0</v>
      </c>
      <c r="T38" s="1">
        <f>IF(G38&lt;Daten!$T$3,IF(H38&gt;Daten!$T$3,Daten!$T$3,Dienste!H38),0)</f>
        <v>0</v>
      </c>
      <c r="U38" s="1">
        <f>IF(H38*24&gt;Daten!$T$2*24+24, (Daten!$T$2*24+24)/24, 0)</f>
        <v>0</v>
      </c>
      <c r="V38" s="1">
        <f>IF(H38*24&gt;Daten!$T$2*24+24,IF(H38*24&gt;Daten!$T$3*24+24,(Daten!$T$3*24+24)/24,H38),0)</f>
        <v>0</v>
      </c>
      <c r="W38" s="4">
        <f t="shared" si="7"/>
        <v>0</v>
      </c>
    </row>
    <row r="39" spans="2:23">
      <c r="B39" s="46">
        <f t="shared" si="8"/>
        <v>44317</v>
      </c>
      <c r="C39" s="5" t="str">
        <f t="shared" si="0"/>
        <v>44317 Dienst 5 Sa</v>
      </c>
      <c r="D39" s="104" t="s">
        <v>242</v>
      </c>
      <c r="E39" s="226"/>
      <c r="F39" s="5" t="str">
        <f t="shared" si="9"/>
        <v>Tour 5 Sa</v>
      </c>
      <c r="G39" s="103">
        <v>0.24166666666666667</v>
      </c>
      <c r="H39" s="103">
        <v>0.64444444444444449</v>
      </c>
      <c r="I39" s="1">
        <f t="shared" si="1"/>
        <v>0.40277777777777779</v>
      </c>
      <c r="J39" s="4">
        <f t="shared" si="2"/>
        <v>9.6666666666666679</v>
      </c>
      <c r="K39" s="119">
        <v>6.9444444444444441E-3</v>
      </c>
      <c r="L39" s="120"/>
      <c r="M39" s="1">
        <f t="shared" si="3"/>
        <v>6.9444444444444441E-3</v>
      </c>
      <c r="N39" s="119">
        <v>4.7222222222222221E-2</v>
      </c>
      <c r="O39" s="1">
        <f t="shared" si="4"/>
        <v>0.35555555555555557</v>
      </c>
      <c r="P39" s="4">
        <f t="shared" si="5"/>
        <v>8.5333333333333332</v>
      </c>
      <c r="Q39" s="5">
        <f t="shared" si="6"/>
        <v>10</v>
      </c>
      <c r="R39" s="5"/>
      <c r="S39" s="1">
        <f>IF(G39&lt;Daten!$T$3,Dienste!G39,0)</f>
        <v>0</v>
      </c>
      <c r="T39" s="1">
        <f>IF(G39&lt;Daten!$T$3,IF(H39&gt;Daten!$T$3,Daten!$T$3,Dienste!H39),0)</f>
        <v>0</v>
      </c>
      <c r="U39" s="1">
        <f>IF(H39*24&gt;Daten!$T$2*24+24, (Daten!$T$2*24+24)/24, 0)</f>
        <v>0</v>
      </c>
      <c r="V39" s="1">
        <f>IF(H39*24&gt;Daten!$T$2*24+24,IF(H39*24&gt;Daten!$T$3*24+24,(Daten!$T$3*24+24)/24,H39),0)</f>
        <v>0</v>
      </c>
      <c r="W39" s="4">
        <f t="shared" si="7"/>
        <v>0</v>
      </c>
    </row>
    <row r="40" spans="2:23">
      <c r="B40" s="46">
        <f t="shared" si="8"/>
        <v>44317</v>
      </c>
      <c r="C40" s="5" t="str">
        <f t="shared" si="0"/>
        <v>44317 Dienst 6 Sa</v>
      </c>
      <c r="D40" s="104" t="s">
        <v>243</v>
      </c>
      <c r="E40" s="226"/>
      <c r="F40" s="5" t="str">
        <f t="shared" si="9"/>
        <v>Tour 6 Sa</v>
      </c>
      <c r="G40" s="103">
        <v>0.24513888888888888</v>
      </c>
      <c r="H40" s="103">
        <v>0.66527777777777775</v>
      </c>
      <c r="I40" s="1">
        <f t="shared" si="1"/>
        <v>0.42013888888888884</v>
      </c>
      <c r="J40" s="4">
        <f t="shared" si="2"/>
        <v>10.083333333333332</v>
      </c>
      <c r="K40" s="119">
        <v>6.9444444444444441E-3</v>
      </c>
      <c r="L40" s="120"/>
      <c r="M40" s="1">
        <f t="shared" si="3"/>
        <v>6.9444444444444441E-3</v>
      </c>
      <c r="N40" s="119">
        <v>4.7222222222222221E-2</v>
      </c>
      <c r="O40" s="1">
        <f t="shared" si="4"/>
        <v>0.37291666666666662</v>
      </c>
      <c r="P40" s="4">
        <f t="shared" si="5"/>
        <v>8.9499999999999993</v>
      </c>
      <c r="Q40" s="5">
        <f t="shared" si="6"/>
        <v>10</v>
      </c>
      <c r="R40" s="5"/>
      <c r="S40" s="1">
        <f>IF(G40&lt;Daten!$T$3,Dienste!G40,0)</f>
        <v>0</v>
      </c>
      <c r="T40" s="1">
        <f>IF(G40&lt;Daten!$T$3,IF(H40&gt;Daten!$T$3,Daten!$T$3,Dienste!H40),0)</f>
        <v>0</v>
      </c>
      <c r="U40" s="1">
        <f>IF(H40*24&gt;Daten!$T$2*24+24, (Daten!$T$2*24+24)/24, 0)</f>
        <v>0</v>
      </c>
      <c r="V40" s="1">
        <f>IF(H40*24&gt;Daten!$T$2*24+24,IF(H40*24&gt;Daten!$T$3*24+24,(Daten!$T$3*24+24)/24,H40),0)</f>
        <v>0</v>
      </c>
      <c r="W40" s="4">
        <f t="shared" si="7"/>
        <v>0</v>
      </c>
    </row>
    <row r="41" spans="2:23">
      <c r="B41" s="46">
        <f t="shared" si="8"/>
        <v>44317</v>
      </c>
      <c r="C41" s="5" t="str">
        <f t="shared" si="0"/>
        <v>44317 Dienst 7 Sa</v>
      </c>
      <c r="D41" s="104" t="s">
        <v>244</v>
      </c>
      <c r="E41" s="226"/>
      <c r="F41" s="5" t="str">
        <f t="shared" si="9"/>
        <v>Tour 7 Sa</v>
      </c>
      <c r="G41" s="103">
        <v>0.23611111111111113</v>
      </c>
      <c r="H41" s="103">
        <v>0.7895833333333333</v>
      </c>
      <c r="I41" s="1">
        <f t="shared" si="1"/>
        <v>0.55347222222222214</v>
      </c>
      <c r="J41" s="4">
        <f t="shared" si="2"/>
        <v>13.283333333333331</v>
      </c>
      <c r="K41" s="119">
        <v>6.9444444444444441E-3</v>
      </c>
      <c r="L41" s="120"/>
      <c r="M41" s="1">
        <f t="shared" si="3"/>
        <v>6.9444444444444441E-3</v>
      </c>
      <c r="N41" s="119">
        <v>6.25E-2</v>
      </c>
      <c r="O41" s="1">
        <f t="shared" si="4"/>
        <v>0.49097222222222214</v>
      </c>
      <c r="P41" s="4">
        <f t="shared" si="5"/>
        <v>11.783333333333331</v>
      </c>
      <c r="Q41" s="5">
        <f t="shared" si="6"/>
        <v>12</v>
      </c>
      <c r="R41" s="5"/>
      <c r="S41" s="1">
        <f>IF(G41&lt;Daten!$T$3,Dienste!G41,0)</f>
        <v>0</v>
      </c>
      <c r="T41" s="1">
        <f>IF(G41&lt;Daten!$T$3,IF(H41&gt;Daten!$T$3,Daten!$T$3,Dienste!H41),0)</f>
        <v>0</v>
      </c>
      <c r="U41" s="1">
        <f>IF(H41*24&gt;Daten!$T$2*24+24, (Daten!$T$2*24+24)/24, 0)</f>
        <v>0</v>
      </c>
      <c r="V41" s="1">
        <f>IF(H41*24&gt;Daten!$T$2*24+24,IF(H41*24&gt;Daten!$T$3*24+24,(Daten!$T$3*24+24)/24,H41),0)</f>
        <v>0</v>
      </c>
      <c r="W41" s="4">
        <f t="shared" si="7"/>
        <v>0</v>
      </c>
    </row>
    <row r="42" spans="2:23">
      <c r="B42" s="46">
        <f t="shared" si="8"/>
        <v>44317</v>
      </c>
      <c r="C42" s="5" t="str">
        <f t="shared" si="0"/>
        <v>44317 Dienst 8 Sa</v>
      </c>
      <c r="D42" s="104" t="s">
        <v>245</v>
      </c>
      <c r="E42" s="226"/>
      <c r="F42" s="5" t="str">
        <f t="shared" si="9"/>
        <v>Tour 8 Sa</v>
      </c>
      <c r="G42" s="103">
        <v>0.24722222222222223</v>
      </c>
      <c r="H42" s="103">
        <v>0.61944444444444446</v>
      </c>
      <c r="I42" s="1">
        <f t="shared" si="1"/>
        <v>0.37222222222222223</v>
      </c>
      <c r="J42" s="4">
        <f t="shared" si="2"/>
        <v>8.9333333333333336</v>
      </c>
      <c r="K42" s="119">
        <v>6.9444444444444441E-3</v>
      </c>
      <c r="L42" s="120"/>
      <c r="M42" s="1">
        <f t="shared" si="3"/>
        <v>6.9444444444444441E-3</v>
      </c>
      <c r="N42" s="119">
        <v>4.5138888888888888E-2</v>
      </c>
      <c r="O42" s="1">
        <f t="shared" si="4"/>
        <v>0.32708333333333334</v>
      </c>
      <c r="P42" s="4">
        <f t="shared" si="5"/>
        <v>7.85</v>
      </c>
      <c r="Q42" s="5">
        <f t="shared" si="6"/>
        <v>9</v>
      </c>
      <c r="R42" s="5"/>
      <c r="S42" s="1">
        <f>IF(G42&lt;Daten!$T$3,Dienste!G42,0)</f>
        <v>0</v>
      </c>
      <c r="T42" s="1">
        <f>IF(G42&lt;Daten!$T$3,IF(H42&gt;Daten!$T$3,Daten!$T$3,Dienste!H42),0)</f>
        <v>0</v>
      </c>
      <c r="U42" s="1">
        <f>IF(H42*24&gt;Daten!$T$2*24+24, (Daten!$T$2*24+24)/24, 0)</f>
        <v>0</v>
      </c>
      <c r="V42" s="1">
        <f>IF(H42*24&gt;Daten!$T$2*24+24,IF(H42*24&gt;Daten!$T$3*24+24,(Daten!$T$3*24+24)/24,H42),0)</f>
        <v>0</v>
      </c>
      <c r="W42" s="4">
        <f t="shared" si="7"/>
        <v>0</v>
      </c>
    </row>
    <row r="43" spans="2:23">
      <c r="B43" s="46">
        <f t="shared" si="8"/>
        <v>44317</v>
      </c>
      <c r="C43" s="5" t="str">
        <f t="shared" si="0"/>
        <v>44317 Dienst 9 Sa mR</v>
      </c>
      <c r="D43" s="104" t="s">
        <v>246</v>
      </c>
      <c r="E43" s="226"/>
      <c r="F43" s="5" t="str">
        <f t="shared" si="9"/>
        <v>Tour 9 Sa mR</v>
      </c>
      <c r="G43" s="103">
        <v>0.2388888888888889</v>
      </c>
      <c r="H43" s="103">
        <v>0.50972222222222219</v>
      </c>
      <c r="I43" s="1">
        <f t="shared" si="1"/>
        <v>0.27083333333333326</v>
      </c>
      <c r="J43" s="4">
        <f t="shared" si="2"/>
        <v>6.4999999999999982</v>
      </c>
      <c r="K43" s="119">
        <v>1.1111111111111112E-2</v>
      </c>
      <c r="L43" s="120"/>
      <c r="M43" s="1">
        <f t="shared" si="3"/>
        <v>1.1111111111111112E-2</v>
      </c>
      <c r="N43" s="119">
        <v>0</v>
      </c>
      <c r="O43" s="1">
        <f t="shared" si="4"/>
        <v>0.27083333333333326</v>
      </c>
      <c r="P43" s="4">
        <f t="shared" si="5"/>
        <v>6.4999999999999982</v>
      </c>
      <c r="Q43" s="5">
        <f t="shared" si="6"/>
        <v>7</v>
      </c>
      <c r="R43" s="5"/>
      <c r="S43" s="1">
        <f>IF(G43&lt;Daten!$T$3,Dienste!G43,0)</f>
        <v>0</v>
      </c>
      <c r="T43" s="1">
        <f>IF(G43&lt;Daten!$T$3,IF(H43&gt;Daten!$T$3,Daten!$T$3,Dienste!H43),0)</f>
        <v>0</v>
      </c>
      <c r="U43" s="1">
        <f>IF(H43*24&gt;Daten!$T$2*24+24, (Daten!$T$2*24+24)/24, 0)</f>
        <v>0</v>
      </c>
      <c r="V43" s="1">
        <f>IF(H43*24&gt;Daten!$T$2*24+24,IF(H43*24&gt;Daten!$T$3*24+24,(Daten!$T$3*24+24)/24,H43),0)</f>
        <v>0</v>
      </c>
      <c r="W43" s="4">
        <f t="shared" si="7"/>
        <v>0</v>
      </c>
    </row>
    <row r="44" spans="2:23">
      <c r="B44" s="46">
        <f t="shared" si="8"/>
        <v>44317</v>
      </c>
      <c r="C44" s="5" t="str">
        <f t="shared" si="0"/>
        <v>44317 Dienst 9 Sa oR</v>
      </c>
      <c r="D44" s="104" t="s">
        <v>247</v>
      </c>
      <c r="E44" s="226"/>
      <c r="F44" s="5" t="str">
        <f t="shared" si="9"/>
        <v>Tour 9 Sa oR</v>
      </c>
      <c r="G44" s="103">
        <v>0.2388888888888889</v>
      </c>
      <c r="H44" s="103">
        <v>0.49861111111111112</v>
      </c>
      <c r="I44" s="1">
        <f t="shared" si="1"/>
        <v>0.25972222222222219</v>
      </c>
      <c r="J44" s="4">
        <f t="shared" si="2"/>
        <v>6.2333333333333325</v>
      </c>
      <c r="K44" s="119">
        <v>6.9444444444444441E-3</v>
      </c>
      <c r="L44" s="120"/>
      <c r="M44" s="1">
        <f t="shared" si="3"/>
        <v>6.9444444444444441E-3</v>
      </c>
      <c r="N44" s="119">
        <v>0</v>
      </c>
      <c r="O44" s="1">
        <f t="shared" si="4"/>
        <v>0.27083333333333331</v>
      </c>
      <c r="P44" s="4">
        <f t="shared" si="5"/>
        <v>6.5</v>
      </c>
      <c r="Q44" s="5">
        <f t="shared" si="6"/>
        <v>7</v>
      </c>
      <c r="R44" s="5"/>
      <c r="S44" s="1">
        <f>IF(G44&lt;Daten!$T$3,Dienste!G44,0)</f>
        <v>0</v>
      </c>
      <c r="T44" s="1">
        <f>IF(G44&lt;Daten!$T$3,IF(H44&gt;Daten!$T$3,Daten!$T$3,Dienste!H44),0)</f>
        <v>0</v>
      </c>
      <c r="U44" s="1">
        <f>IF(H44*24&gt;Daten!$T$2*24+24, (Daten!$T$2*24+24)/24, 0)</f>
        <v>0</v>
      </c>
      <c r="V44" s="1">
        <f>IF(H44*24&gt;Daten!$T$2*24+24,IF(H44*24&gt;Daten!$T$3*24+24,(Daten!$T$3*24+24)/24,H44),0)</f>
        <v>0</v>
      </c>
      <c r="W44" s="4">
        <f t="shared" si="7"/>
        <v>0</v>
      </c>
    </row>
    <row r="45" spans="2:23">
      <c r="B45" s="46">
        <f t="shared" si="8"/>
        <v>44317</v>
      </c>
      <c r="C45" s="5" t="str">
        <f t="shared" si="0"/>
        <v>44317 Dienst 10 Sa</v>
      </c>
      <c r="D45" s="104" t="s">
        <v>248</v>
      </c>
      <c r="E45" s="226"/>
      <c r="F45" s="5" t="str">
        <f t="shared" si="9"/>
        <v>Tour 10 Sa</v>
      </c>
      <c r="G45" s="103">
        <v>0.22638888888888889</v>
      </c>
      <c r="H45" s="103">
        <v>0.60138888888888886</v>
      </c>
      <c r="I45" s="1">
        <f t="shared" si="1"/>
        <v>0.375</v>
      </c>
      <c r="J45" s="4">
        <f t="shared" si="2"/>
        <v>9</v>
      </c>
      <c r="K45" s="119">
        <v>6.9444444444444441E-3</v>
      </c>
      <c r="L45" s="120"/>
      <c r="M45" s="1">
        <f t="shared" si="3"/>
        <v>6.9444444444444441E-3</v>
      </c>
      <c r="N45" s="119">
        <v>6.25E-2</v>
      </c>
      <c r="O45" s="1">
        <f t="shared" si="4"/>
        <v>0.3125</v>
      </c>
      <c r="P45" s="4">
        <f t="shared" si="5"/>
        <v>7.5</v>
      </c>
      <c r="Q45" s="5">
        <f t="shared" si="6"/>
        <v>9</v>
      </c>
      <c r="R45" s="5"/>
      <c r="S45" s="1">
        <f>IF(G45&lt;Daten!$T$3,Dienste!G45,0)</f>
        <v>0</v>
      </c>
      <c r="T45" s="1">
        <f>IF(G45&lt;Daten!$T$3,IF(H45&gt;Daten!$T$3,Daten!$T$3,Dienste!H45),0)</f>
        <v>0</v>
      </c>
      <c r="U45" s="1">
        <f>IF(H45*24&gt;Daten!$T$2*24+24, (Daten!$T$2*24+24)/24, 0)</f>
        <v>0</v>
      </c>
      <c r="V45" s="1">
        <f>IF(H45*24&gt;Daten!$T$2*24+24,IF(H45*24&gt;Daten!$T$3*24+24,(Daten!$T$3*24+24)/24,H45),0)</f>
        <v>0</v>
      </c>
      <c r="W45" s="4">
        <f t="shared" si="7"/>
        <v>0</v>
      </c>
    </row>
    <row r="46" spans="2:23">
      <c r="B46" s="46">
        <f t="shared" si="8"/>
        <v>44317</v>
      </c>
      <c r="C46" s="5" t="str">
        <f t="shared" si="0"/>
        <v>44317 Dienst 11 Sa</v>
      </c>
      <c r="D46" s="104" t="s">
        <v>249</v>
      </c>
      <c r="E46" s="226"/>
      <c r="F46" s="5" t="str">
        <f t="shared" si="9"/>
        <v>Tour 11 Sa</v>
      </c>
      <c r="G46" s="103">
        <v>0.24722222222222223</v>
      </c>
      <c r="H46" s="103">
        <v>0.7909722222222223</v>
      </c>
      <c r="I46" s="1">
        <f t="shared" si="1"/>
        <v>0.54375000000000007</v>
      </c>
      <c r="J46" s="4">
        <f t="shared" si="2"/>
        <v>13.05</v>
      </c>
      <c r="K46" s="119">
        <v>6.9444444444444441E-3</v>
      </c>
      <c r="L46" s="120"/>
      <c r="M46" s="1">
        <f t="shared" si="3"/>
        <v>6.9444444444444441E-3</v>
      </c>
      <c r="N46" s="119">
        <v>6.25E-2</v>
      </c>
      <c r="O46" s="1">
        <f t="shared" si="4"/>
        <v>0.48125000000000007</v>
      </c>
      <c r="P46" s="4">
        <f t="shared" si="5"/>
        <v>11.55</v>
      </c>
      <c r="Q46" s="5">
        <f t="shared" si="6"/>
        <v>12</v>
      </c>
      <c r="R46" s="5"/>
      <c r="S46" s="1">
        <f>IF(G46&lt;Daten!$T$3,Dienste!G46,0)</f>
        <v>0</v>
      </c>
      <c r="T46" s="1">
        <f>IF(G46&lt;Daten!$T$3,IF(H46&gt;Daten!$T$3,Daten!$T$3,Dienste!H46),0)</f>
        <v>0</v>
      </c>
      <c r="U46" s="1">
        <f>IF(H46*24&gt;Daten!$T$2*24+24, (Daten!$T$2*24+24)/24, 0)</f>
        <v>0</v>
      </c>
      <c r="V46" s="1">
        <f>IF(H46*24&gt;Daten!$T$2*24+24,IF(H46*24&gt;Daten!$T$3*24+24,(Daten!$T$3*24+24)/24,H46),0)</f>
        <v>0</v>
      </c>
      <c r="W46" s="4">
        <f t="shared" si="7"/>
        <v>0</v>
      </c>
    </row>
    <row r="47" spans="2:23">
      <c r="B47" s="46">
        <f t="shared" si="8"/>
        <v>44317</v>
      </c>
      <c r="C47" s="5" t="str">
        <f t="shared" si="0"/>
        <v>44317 Dienst 12 Sa</v>
      </c>
      <c r="D47" s="104" t="s">
        <v>250</v>
      </c>
      <c r="E47" s="226"/>
      <c r="F47" s="5" t="str">
        <f t="shared" si="9"/>
        <v>Tour 12 Sa</v>
      </c>
      <c r="G47" s="103">
        <v>0.24722222222222223</v>
      </c>
      <c r="H47" s="103">
        <v>0.78888888888888886</v>
      </c>
      <c r="I47" s="1">
        <f t="shared" si="1"/>
        <v>0.54166666666666663</v>
      </c>
      <c r="J47" s="4">
        <f t="shared" si="2"/>
        <v>13</v>
      </c>
      <c r="K47" s="119">
        <v>6.9444444444444441E-3</v>
      </c>
      <c r="L47" s="120"/>
      <c r="M47" s="1">
        <f t="shared" si="3"/>
        <v>6.9444444444444441E-3</v>
      </c>
      <c r="N47" s="119">
        <v>6.25E-2</v>
      </c>
      <c r="O47" s="1">
        <f t="shared" si="4"/>
        <v>0.47916666666666663</v>
      </c>
      <c r="P47" s="4">
        <f t="shared" si="5"/>
        <v>11.5</v>
      </c>
      <c r="Q47" s="5">
        <f t="shared" si="6"/>
        <v>12</v>
      </c>
      <c r="R47" s="5"/>
      <c r="S47" s="1">
        <f>IF(G47&lt;Daten!$T$3,Dienste!G47,0)</f>
        <v>0</v>
      </c>
      <c r="T47" s="1">
        <f>IF(G47&lt;Daten!$T$3,IF(H47&gt;Daten!$T$3,Daten!$T$3,Dienste!H47),0)</f>
        <v>0</v>
      </c>
      <c r="U47" s="1">
        <f>IF(H47*24&gt;Daten!$T$2*24+24, (Daten!$T$2*24+24)/24, 0)</f>
        <v>0</v>
      </c>
      <c r="V47" s="1">
        <f>IF(H47*24&gt;Daten!$T$2*24+24,IF(H47*24&gt;Daten!$T$3*24+24,(Daten!$T$3*24+24)/24,H47),0)</f>
        <v>0</v>
      </c>
      <c r="W47" s="4">
        <f t="shared" si="7"/>
        <v>0</v>
      </c>
    </row>
    <row r="48" spans="2:23">
      <c r="B48" s="46">
        <f t="shared" si="8"/>
        <v>44317</v>
      </c>
      <c r="C48" s="5" t="str">
        <f t="shared" si="0"/>
        <v>44317 Dienst 13 Sa</v>
      </c>
      <c r="D48" s="104" t="s">
        <v>251</v>
      </c>
      <c r="E48" s="226"/>
      <c r="F48" s="5" t="str">
        <f t="shared" si="9"/>
        <v>Tour 13 Sa</v>
      </c>
      <c r="G48" s="103">
        <v>0.33263888888888887</v>
      </c>
      <c r="H48" s="103">
        <v>0.76874999999999993</v>
      </c>
      <c r="I48" s="1">
        <f t="shared" si="1"/>
        <v>0.43611111111111106</v>
      </c>
      <c r="J48" s="4">
        <f t="shared" si="2"/>
        <v>10.466666666666665</v>
      </c>
      <c r="K48" s="120"/>
      <c r="L48" s="120"/>
      <c r="M48" s="1">
        <f t="shared" si="3"/>
        <v>0</v>
      </c>
      <c r="N48" s="119">
        <v>6.25E-2</v>
      </c>
      <c r="O48" s="1">
        <f t="shared" si="4"/>
        <v>0.37361111111111106</v>
      </c>
      <c r="P48" s="4">
        <f t="shared" si="5"/>
        <v>8.966666666666665</v>
      </c>
      <c r="Q48" s="5">
        <f t="shared" si="6"/>
        <v>11</v>
      </c>
      <c r="R48" s="5"/>
      <c r="S48" s="1">
        <f>IF(G48&lt;Daten!$T$3,Dienste!G48,0)</f>
        <v>0</v>
      </c>
      <c r="T48" s="1">
        <f>IF(G48&lt;Daten!$T$3,IF(H48&gt;Daten!$T$3,Daten!$T$3,Dienste!H48),0)</f>
        <v>0</v>
      </c>
      <c r="U48" s="1">
        <f>IF(H48*24&gt;Daten!$T$2*24+24, (Daten!$T$2*24+24)/24, 0)</f>
        <v>0</v>
      </c>
      <c r="V48" s="1">
        <f>IF(H48*24&gt;Daten!$T$2*24+24,IF(H48*24&gt;Daten!$T$3*24+24,(Daten!$T$3*24+24)/24,H48),0)</f>
        <v>0</v>
      </c>
      <c r="W48" s="4">
        <f t="shared" si="7"/>
        <v>0</v>
      </c>
    </row>
    <row r="49" spans="2:23">
      <c r="B49" s="46">
        <f t="shared" si="8"/>
        <v>44317</v>
      </c>
      <c r="C49" s="5" t="str">
        <f t="shared" si="0"/>
        <v>44317 Dienst 14 Sa</v>
      </c>
      <c r="D49" s="104" t="s">
        <v>252</v>
      </c>
      <c r="E49" s="226"/>
      <c r="F49" s="5" t="str">
        <f t="shared" si="9"/>
        <v>Tour 14 Sa</v>
      </c>
      <c r="G49" s="103">
        <v>0.44097222222222227</v>
      </c>
      <c r="H49" s="103">
        <v>0.9291666666666667</v>
      </c>
      <c r="I49" s="1">
        <f t="shared" si="1"/>
        <v>0.48819444444444443</v>
      </c>
      <c r="J49" s="4">
        <f t="shared" si="2"/>
        <v>11.716666666666667</v>
      </c>
      <c r="K49" s="120"/>
      <c r="L49" s="119">
        <v>1.0416666666666666E-2</v>
      </c>
      <c r="M49" s="1">
        <f t="shared" si="3"/>
        <v>1.0416666666666666E-2</v>
      </c>
      <c r="N49" s="119">
        <v>6.25E-2</v>
      </c>
      <c r="O49" s="1">
        <f t="shared" si="4"/>
        <v>0.42569444444444443</v>
      </c>
      <c r="P49" s="4">
        <f t="shared" si="5"/>
        <v>10.216666666666667</v>
      </c>
      <c r="Q49" s="5">
        <f t="shared" si="6"/>
        <v>12</v>
      </c>
      <c r="R49" s="5"/>
      <c r="S49" s="1">
        <f>IF(G49&lt;Daten!$T$3,Dienste!G49,0)</f>
        <v>0</v>
      </c>
      <c r="T49" s="1">
        <f>IF(G49&lt;Daten!$T$3,IF(H49&gt;Daten!$T$3,Daten!$T$3,Dienste!H49),0)</f>
        <v>0</v>
      </c>
      <c r="U49" s="1">
        <f>IF(H49*24&gt;Daten!$T$2*24+24, (Daten!$T$2*24+24)/24, 0)</f>
        <v>0</v>
      </c>
      <c r="V49" s="1">
        <f>IF(H49*24&gt;Daten!$T$2*24+24,IF(H49*24&gt;Daten!$T$3*24+24,(Daten!$T$3*24+24)/24,H49),0)</f>
        <v>0</v>
      </c>
      <c r="W49" s="4">
        <f t="shared" si="7"/>
        <v>0</v>
      </c>
    </row>
    <row r="50" spans="2:23">
      <c r="B50" s="46">
        <f t="shared" si="8"/>
        <v>44317</v>
      </c>
      <c r="C50" s="5" t="str">
        <f t="shared" si="0"/>
        <v>44317 Dienst 15 Sa</v>
      </c>
      <c r="D50" s="104" t="s">
        <v>253</v>
      </c>
      <c r="E50" s="226"/>
      <c r="F50" s="5" t="str">
        <f t="shared" si="9"/>
        <v>Tour 15 Sa</v>
      </c>
      <c r="G50" s="103">
        <v>0.60347222222222219</v>
      </c>
      <c r="H50" s="103">
        <v>0.96805555555555556</v>
      </c>
      <c r="I50" s="1">
        <f t="shared" si="1"/>
        <v>0.36458333333333337</v>
      </c>
      <c r="J50" s="4">
        <f t="shared" si="2"/>
        <v>8.75</v>
      </c>
      <c r="K50" s="120"/>
      <c r="L50" s="119">
        <v>1.0416666666666666E-2</v>
      </c>
      <c r="M50" s="1">
        <f t="shared" si="3"/>
        <v>1.0416666666666666E-2</v>
      </c>
      <c r="N50" s="119">
        <v>4.4444444444444446E-2</v>
      </c>
      <c r="O50" s="1">
        <f t="shared" si="4"/>
        <v>0.32013888888888892</v>
      </c>
      <c r="P50" s="4">
        <f t="shared" si="5"/>
        <v>7.6833333333333336</v>
      </c>
      <c r="Q50" s="5">
        <f t="shared" si="6"/>
        <v>9</v>
      </c>
      <c r="R50" s="5"/>
      <c r="S50" s="1">
        <f>IF(G50&lt;Daten!$T$3,Dienste!G50,0)</f>
        <v>0</v>
      </c>
      <c r="T50" s="1">
        <f>IF(G50&lt;Daten!$T$3,IF(H50&gt;Daten!$T$3,Daten!$T$3,Dienste!H50),0)</f>
        <v>0</v>
      </c>
      <c r="U50" s="1">
        <f>IF(H50*24&gt;Daten!$T$2*24+24, (Daten!$T$2*24+24)/24, 0)</f>
        <v>0</v>
      </c>
      <c r="V50" s="1">
        <f>IF(H50*24&gt;Daten!$T$2*24+24,IF(H50*24&gt;Daten!$T$3*24+24,(Daten!$T$3*24+24)/24,H50),0)</f>
        <v>0</v>
      </c>
      <c r="W50" s="4">
        <f t="shared" si="7"/>
        <v>0</v>
      </c>
    </row>
    <row r="51" spans="2:23">
      <c r="B51" s="46">
        <f t="shared" si="8"/>
        <v>44317</v>
      </c>
      <c r="C51" s="5" t="str">
        <f t="shared" si="0"/>
        <v>44317 Dienst 16 Sa mR</v>
      </c>
      <c r="D51" s="104" t="s">
        <v>254</v>
      </c>
      <c r="E51" s="226"/>
      <c r="F51" s="5" t="str">
        <f t="shared" si="9"/>
        <v>Tour 16 Sa mR</v>
      </c>
      <c r="G51" s="103">
        <v>0.68611111111111101</v>
      </c>
      <c r="H51" s="103">
        <v>0.96250000000000002</v>
      </c>
      <c r="I51" s="1">
        <f t="shared" si="1"/>
        <v>0.27638888888888902</v>
      </c>
      <c r="J51" s="4">
        <f t="shared" si="2"/>
        <v>6.6333333333333364</v>
      </c>
      <c r="K51" s="120"/>
      <c r="L51" s="119">
        <v>1.8055555555555557E-2</v>
      </c>
      <c r="M51" s="1">
        <f t="shared" si="3"/>
        <v>1.8055555555555557E-2</v>
      </c>
      <c r="N51" s="119">
        <v>0</v>
      </c>
      <c r="O51" s="1">
        <f t="shared" si="4"/>
        <v>0.27638888888888902</v>
      </c>
      <c r="P51" s="4">
        <f t="shared" si="5"/>
        <v>6.6333333333333364</v>
      </c>
      <c r="Q51" s="5">
        <f t="shared" si="6"/>
        <v>7</v>
      </c>
      <c r="R51" s="5"/>
      <c r="S51" s="1">
        <f>IF(G51&lt;Daten!$T$3,Dienste!G51,0)</f>
        <v>0</v>
      </c>
      <c r="T51" s="1">
        <f>IF(G51&lt;Daten!$T$3,IF(H51&gt;Daten!$T$3,Daten!$T$3,Dienste!H51),0)</f>
        <v>0</v>
      </c>
      <c r="U51" s="1">
        <f>IF(H51*24&gt;Daten!$T$2*24+24, (Daten!$T$2*24+24)/24, 0)</f>
        <v>0</v>
      </c>
      <c r="V51" s="1">
        <f>IF(H51*24&gt;Daten!$T$2*24+24,IF(H51*24&gt;Daten!$T$3*24+24,(Daten!$T$3*24+24)/24,H51),0)</f>
        <v>0</v>
      </c>
      <c r="W51" s="4">
        <f t="shared" si="7"/>
        <v>0</v>
      </c>
    </row>
    <row r="52" spans="2:23">
      <c r="B52" s="46">
        <f t="shared" si="8"/>
        <v>44317</v>
      </c>
      <c r="C52" s="5" t="str">
        <f t="shared" si="0"/>
        <v>44317 Dienst 16 Sa oR</v>
      </c>
      <c r="D52" s="104" t="s">
        <v>255</v>
      </c>
      <c r="E52" s="226"/>
      <c r="F52" s="5" t="str">
        <f t="shared" si="9"/>
        <v>Tour 16 Sa oR</v>
      </c>
      <c r="G52" s="103">
        <v>0.68611111111111101</v>
      </c>
      <c r="H52" s="103">
        <v>0.95208333333333339</v>
      </c>
      <c r="I52" s="1">
        <f t="shared" si="1"/>
        <v>0.26597222222222239</v>
      </c>
      <c r="J52" s="4">
        <f t="shared" si="2"/>
        <v>6.3833333333333373</v>
      </c>
      <c r="K52" s="120"/>
      <c r="L52" s="119">
        <v>1.0416666666666666E-2</v>
      </c>
      <c r="M52" s="1">
        <f t="shared" si="3"/>
        <v>1.0416666666666666E-2</v>
      </c>
      <c r="N52" s="119">
        <v>0</v>
      </c>
      <c r="O52" s="1">
        <f t="shared" si="4"/>
        <v>0.27083333333333331</v>
      </c>
      <c r="P52" s="4">
        <f t="shared" si="5"/>
        <v>6.5</v>
      </c>
      <c r="Q52" s="5">
        <f t="shared" si="6"/>
        <v>7</v>
      </c>
      <c r="R52" s="5"/>
      <c r="S52" s="1">
        <f>IF(G52&lt;Daten!$T$3,Dienste!G52,0)</f>
        <v>0</v>
      </c>
      <c r="T52" s="1">
        <f>IF(G52&lt;Daten!$T$3,IF(H52&gt;Daten!$T$3,Daten!$T$3,Dienste!H52),0)</f>
        <v>0</v>
      </c>
      <c r="U52" s="1">
        <f>IF(H52*24&gt;Daten!$T$2*24+24, (Daten!$T$2*24+24)/24, 0)</f>
        <v>0</v>
      </c>
      <c r="V52" s="1">
        <f>IF(H52*24&gt;Daten!$T$2*24+24,IF(H52*24&gt;Daten!$T$3*24+24,(Daten!$T$3*24+24)/24,H52),0)</f>
        <v>0</v>
      </c>
      <c r="W52" s="4">
        <f t="shared" si="7"/>
        <v>0</v>
      </c>
    </row>
    <row r="53" spans="2:23">
      <c r="B53" s="46">
        <f t="shared" si="8"/>
        <v>44317</v>
      </c>
      <c r="C53" s="5" t="str">
        <f t="shared" si="0"/>
        <v>44317 Dienst 17 Sa</v>
      </c>
      <c r="D53" s="104" t="s">
        <v>256</v>
      </c>
      <c r="E53" s="226"/>
      <c r="F53" s="5" t="str">
        <f t="shared" si="9"/>
        <v>Tour 17 Sa</v>
      </c>
      <c r="G53" s="103">
        <v>0.3347222222222222</v>
      </c>
      <c r="H53" s="103">
        <v>0.93611111111111101</v>
      </c>
      <c r="I53" s="1">
        <f t="shared" si="1"/>
        <v>0.60138888888888875</v>
      </c>
      <c r="J53" s="4">
        <f t="shared" si="2"/>
        <v>14.43333333333333</v>
      </c>
      <c r="K53" s="120"/>
      <c r="L53" s="119">
        <v>1.0416666666666666E-2</v>
      </c>
      <c r="M53" s="1">
        <f t="shared" si="3"/>
        <v>1.0416666666666666E-2</v>
      </c>
      <c r="N53" s="119">
        <v>6.25E-2</v>
      </c>
      <c r="O53" s="1">
        <f t="shared" si="4"/>
        <v>0.53888888888888875</v>
      </c>
      <c r="P53" s="4">
        <f t="shared" si="5"/>
        <v>12.93333333333333</v>
      </c>
      <c r="Q53" s="5">
        <f t="shared" si="6"/>
        <v>12</v>
      </c>
      <c r="R53" s="5"/>
      <c r="S53" s="1">
        <f>IF(G53&lt;Daten!$T$3,Dienste!G53,0)</f>
        <v>0</v>
      </c>
      <c r="T53" s="1">
        <f>IF(G53&lt;Daten!$T$3,IF(H53&gt;Daten!$T$3,Daten!$T$3,Dienste!H53),0)</f>
        <v>0</v>
      </c>
      <c r="U53" s="1">
        <f>IF(H53*24&gt;Daten!$T$2*24+24, (Daten!$T$2*24+24)/24, 0)</f>
        <v>0</v>
      </c>
      <c r="V53" s="1">
        <f>IF(H53*24&gt;Daten!$T$2*24+24,IF(H53*24&gt;Daten!$T$3*24+24,(Daten!$T$3*24+24)/24,H53),0)</f>
        <v>0</v>
      </c>
      <c r="W53" s="4">
        <f t="shared" si="7"/>
        <v>0</v>
      </c>
    </row>
    <row r="54" spans="2:23">
      <c r="B54" s="46">
        <f t="shared" si="8"/>
        <v>44317</v>
      </c>
      <c r="C54" s="5" t="str">
        <f t="shared" si="0"/>
        <v>44317 Dienst 18 Sa</v>
      </c>
      <c r="D54" s="104" t="s">
        <v>257</v>
      </c>
      <c r="E54" s="226"/>
      <c r="F54" s="5" t="str">
        <f t="shared" si="9"/>
        <v>Tour 18 Sa</v>
      </c>
      <c r="G54" s="103">
        <v>0.35555555555555557</v>
      </c>
      <c r="H54" s="103">
        <v>0.76944444444444438</v>
      </c>
      <c r="I54" s="1">
        <f t="shared" si="1"/>
        <v>0.41388888888888881</v>
      </c>
      <c r="J54" s="4">
        <f t="shared" si="2"/>
        <v>9.9333333333333318</v>
      </c>
      <c r="K54" s="120"/>
      <c r="L54" s="119"/>
      <c r="M54" s="1">
        <f t="shared" si="3"/>
        <v>0</v>
      </c>
      <c r="N54" s="119">
        <v>4.7222222222222221E-2</v>
      </c>
      <c r="O54" s="1">
        <f t="shared" si="4"/>
        <v>0.36666666666666659</v>
      </c>
      <c r="P54" s="4">
        <f t="shared" si="5"/>
        <v>8.7999999999999972</v>
      </c>
      <c r="Q54" s="5">
        <f t="shared" si="6"/>
        <v>10</v>
      </c>
      <c r="R54" s="5"/>
      <c r="S54" s="1">
        <f>IF(G54&lt;Daten!$T$3,Dienste!G54,0)</f>
        <v>0</v>
      </c>
      <c r="T54" s="1">
        <f>IF(G54&lt;Daten!$T$3,IF(H54&gt;Daten!$T$3,Daten!$T$3,Dienste!H54),0)</f>
        <v>0</v>
      </c>
      <c r="U54" s="1">
        <f>IF(H54*24&gt;Daten!$T$2*24+24, (Daten!$T$2*24+24)/24, 0)</f>
        <v>0</v>
      </c>
      <c r="V54" s="1">
        <f>IF(H54*24&gt;Daten!$T$2*24+24,IF(H54*24&gt;Daten!$T$3*24+24,(Daten!$T$3*24+24)/24,H54),0)</f>
        <v>0</v>
      </c>
      <c r="W54" s="4">
        <f t="shared" si="7"/>
        <v>0</v>
      </c>
    </row>
    <row r="55" spans="2:23">
      <c r="B55" s="46">
        <f t="shared" si="8"/>
        <v>44317</v>
      </c>
      <c r="C55" s="5" t="str">
        <f t="shared" si="0"/>
        <v>44317 Dienst 19 Sa</v>
      </c>
      <c r="D55" s="104" t="s">
        <v>258</v>
      </c>
      <c r="E55" s="226"/>
      <c r="F55" s="5" t="str">
        <f t="shared" si="9"/>
        <v>Tour 19 Sa</v>
      </c>
      <c r="G55" s="103">
        <v>0.56388888888888888</v>
      </c>
      <c r="H55" s="103">
        <v>0.95277777777777783</v>
      </c>
      <c r="I55" s="1">
        <f t="shared" si="1"/>
        <v>0.38888888888888895</v>
      </c>
      <c r="J55" s="4">
        <f t="shared" si="2"/>
        <v>9.3333333333333357</v>
      </c>
      <c r="K55" s="120"/>
      <c r="L55" s="119">
        <v>1.0416666666666666E-2</v>
      </c>
      <c r="M55" s="1">
        <f t="shared" si="3"/>
        <v>1.0416666666666666E-2</v>
      </c>
      <c r="N55" s="119">
        <v>3.6111111111111115E-2</v>
      </c>
      <c r="O55" s="1">
        <f t="shared" si="4"/>
        <v>0.35277777777777786</v>
      </c>
      <c r="P55" s="4">
        <f t="shared" si="5"/>
        <v>8.4666666666666686</v>
      </c>
      <c r="Q55" s="5">
        <f t="shared" si="6"/>
        <v>10</v>
      </c>
      <c r="R55" s="5"/>
      <c r="S55" s="1">
        <f>IF(G55&lt;Daten!$T$3,Dienste!G55,0)</f>
        <v>0</v>
      </c>
      <c r="T55" s="1">
        <f>IF(G55&lt;Daten!$T$3,IF(H55&gt;Daten!$T$3,Daten!$T$3,Dienste!H55),0)</f>
        <v>0</v>
      </c>
      <c r="U55" s="1">
        <f>IF(H55*24&gt;Daten!$T$2*24+24, (Daten!$T$2*24+24)/24, 0)</f>
        <v>0</v>
      </c>
      <c r="V55" s="1">
        <f>IF(H55*24&gt;Daten!$T$2*24+24,IF(H55*24&gt;Daten!$T$3*24+24,(Daten!$T$3*24+24)/24,H55),0)</f>
        <v>0</v>
      </c>
      <c r="W55" s="4">
        <f t="shared" si="7"/>
        <v>0</v>
      </c>
    </row>
    <row r="56" spans="2:23">
      <c r="B56" s="46">
        <f t="shared" si="8"/>
        <v>44317</v>
      </c>
      <c r="C56" s="5" t="str">
        <f t="shared" si="0"/>
        <v>44317 Dienst 20 Sa</v>
      </c>
      <c r="D56" s="104" t="s">
        <v>259</v>
      </c>
      <c r="E56" s="226"/>
      <c r="F56" s="5" t="str">
        <f t="shared" si="9"/>
        <v>Tour 20 Sa</v>
      </c>
      <c r="G56" s="103">
        <v>0.60555555555555551</v>
      </c>
      <c r="H56" s="103">
        <v>0.9458333333333333</v>
      </c>
      <c r="I56" s="1">
        <f t="shared" si="1"/>
        <v>0.34027777777777779</v>
      </c>
      <c r="J56" s="4">
        <f t="shared" si="2"/>
        <v>8.1666666666666679</v>
      </c>
      <c r="K56" s="120"/>
      <c r="L56" s="119">
        <v>1.0416666666666666E-2</v>
      </c>
      <c r="M56" s="1">
        <f t="shared" si="3"/>
        <v>1.0416666666666666E-2</v>
      </c>
      <c r="N56" s="119">
        <v>6.25E-2</v>
      </c>
      <c r="O56" s="1">
        <f t="shared" si="4"/>
        <v>0.27777777777777779</v>
      </c>
      <c r="P56" s="4">
        <f t="shared" si="5"/>
        <v>6.666666666666667</v>
      </c>
      <c r="Q56" s="5">
        <f t="shared" si="6"/>
        <v>8</v>
      </c>
      <c r="R56" s="5"/>
      <c r="S56" s="1">
        <f>IF(G56&lt;Daten!$T$3,Dienste!G56,0)</f>
        <v>0</v>
      </c>
      <c r="T56" s="1">
        <f>IF(G56&lt;Daten!$T$3,IF(H56&gt;Daten!$T$3,Daten!$T$3,Dienste!H56),0)</f>
        <v>0</v>
      </c>
      <c r="U56" s="1">
        <f>IF(H56*24&gt;Daten!$T$2*24+24, (Daten!$T$2*24+24)/24, 0)</f>
        <v>0</v>
      </c>
      <c r="V56" s="1">
        <f>IF(H56*24&gt;Daten!$T$2*24+24,IF(H56*24&gt;Daten!$T$3*24+24,(Daten!$T$3*24+24)/24,H56),0)</f>
        <v>0</v>
      </c>
      <c r="W56" s="4">
        <f t="shared" si="7"/>
        <v>0</v>
      </c>
    </row>
    <row r="57" spans="2:23">
      <c r="B57" s="46">
        <f t="shared" si="8"/>
        <v>44317</v>
      </c>
      <c r="C57" s="5" t="str">
        <f t="shared" si="0"/>
        <v>44317 Dienst 21 Sa</v>
      </c>
      <c r="D57" s="104" t="s">
        <v>260</v>
      </c>
      <c r="E57" s="226"/>
      <c r="F57" s="5" t="str">
        <f t="shared" si="9"/>
        <v>Tour 21 Sa</v>
      </c>
      <c r="G57" s="103">
        <v>0.58263888888888882</v>
      </c>
      <c r="H57" s="103">
        <v>0.94791666666666663</v>
      </c>
      <c r="I57" s="1">
        <f t="shared" si="1"/>
        <v>0.36527777777777781</v>
      </c>
      <c r="J57" s="4">
        <f t="shared" si="2"/>
        <v>8.7666666666666675</v>
      </c>
      <c r="K57" s="120"/>
      <c r="L57" s="119">
        <v>1.0416666666666666E-2</v>
      </c>
      <c r="M57" s="1">
        <f t="shared" si="3"/>
        <v>1.0416666666666666E-2</v>
      </c>
      <c r="N57" s="119">
        <v>4.1666666666666664E-2</v>
      </c>
      <c r="O57" s="1">
        <f t="shared" si="4"/>
        <v>0.32361111111111113</v>
      </c>
      <c r="P57" s="4">
        <f t="shared" si="5"/>
        <v>7.7666666666666675</v>
      </c>
      <c r="Q57" s="5">
        <f t="shared" si="6"/>
        <v>9</v>
      </c>
      <c r="R57" s="5"/>
      <c r="S57" s="1">
        <f>IF(G57&lt;Daten!$T$3,Dienste!G57,0)</f>
        <v>0</v>
      </c>
      <c r="T57" s="1">
        <f>IF(G57&lt;Daten!$T$3,IF(H57&gt;Daten!$T$3,Daten!$T$3,Dienste!H57),0)</f>
        <v>0</v>
      </c>
      <c r="U57" s="1">
        <f>IF(H57*24&gt;Daten!$T$2*24+24, (Daten!$T$2*24+24)/24, 0)</f>
        <v>0</v>
      </c>
      <c r="V57" s="1">
        <f>IF(H57*24&gt;Daten!$T$2*24+24,IF(H57*24&gt;Daten!$T$3*24+24,(Daten!$T$3*24+24)/24,H57),0)</f>
        <v>0</v>
      </c>
      <c r="W57" s="4">
        <f t="shared" si="7"/>
        <v>0</v>
      </c>
    </row>
    <row r="58" spans="2:23">
      <c r="B58" s="46">
        <f t="shared" si="8"/>
        <v>44317</v>
      </c>
      <c r="C58" s="5" t="str">
        <f t="shared" si="0"/>
        <v>44317 Dienst 22 Sa</v>
      </c>
      <c r="D58" s="104" t="s">
        <v>261</v>
      </c>
      <c r="E58" s="226"/>
      <c r="F58" s="5" t="str">
        <f t="shared" si="9"/>
        <v>Tour 22 Sa</v>
      </c>
      <c r="G58" s="103">
        <v>0.64513888888888882</v>
      </c>
      <c r="H58" s="103">
        <v>0.94513888888888886</v>
      </c>
      <c r="I58" s="1">
        <f t="shared" si="1"/>
        <v>0.30000000000000004</v>
      </c>
      <c r="J58" s="4">
        <f t="shared" si="2"/>
        <v>7.2000000000000011</v>
      </c>
      <c r="K58" s="120"/>
      <c r="L58" s="119">
        <v>1.0416666666666666E-2</v>
      </c>
      <c r="M58" s="1">
        <f t="shared" si="3"/>
        <v>1.0416666666666666E-2</v>
      </c>
      <c r="N58" s="119">
        <v>2.1527777777777781E-2</v>
      </c>
      <c r="O58" s="1">
        <f t="shared" si="4"/>
        <v>0.27847222222222229</v>
      </c>
      <c r="P58" s="4">
        <f t="shared" si="5"/>
        <v>6.6833333333333353</v>
      </c>
      <c r="Q58" s="5">
        <f t="shared" si="6"/>
        <v>7</v>
      </c>
      <c r="R58" s="5"/>
      <c r="S58" s="1">
        <f>IF(G58&lt;Daten!$T$3,Dienste!G58,0)</f>
        <v>0</v>
      </c>
      <c r="T58" s="1">
        <f>IF(G58&lt;Daten!$T$3,IF(H58&gt;Daten!$T$3,Daten!$T$3,Dienste!H58),0)</f>
        <v>0</v>
      </c>
      <c r="U58" s="1">
        <f>IF(H58*24&gt;Daten!$T$2*24+24, (Daten!$T$2*24+24)/24, 0)</f>
        <v>0</v>
      </c>
      <c r="V58" s="1">
        <f>IF(H58*24&gt;Daten!$T$2*24+24,IF(H58*24&gt;Daten!$T$3*24+24,(Daten!$T$3*24+24)/24,H58),0)</f>
        <v>0</v>
      </c>
      <c r="W58" s="4">
        <f t="shared" si="7"/>
        <v>0</v>
      </c>
    </row>
    <row r="59" spans="2:23">
      <c r="B59" s="46">
        <f t="shared" si="8"/>
        <v>44317</v>
      </c>
      <c r="C59" s="5" t="str">
        <f t="shared" si="0"/>
        <v>44317 Dienst 23 Sa mR</v>
      </c>
      <c r="D59" s="104" t="s">
        <v>262</v>
      </c>
      <c r="E59" s="226"/>
      <c r="F59" s="5" t="str">
        <f t="shared" si="9"/>
        <v>Tour 23 Sa mR</v>
      </c>
      <c r="G59" s="103">
        <v>0.65</v>
      </c>
      <c r="H59" s="103">
        <v>0.96319444444444446</v>
      </c>
      <c r="I59" s="1">
        <f t="shared" si="1"/>
        <v>0.31319444444444444</v>
      </c>
      <c r="J59" s="4">
        <f t="shared" si="2"/>
        <v>7.5166666666666666</v>
      </c>
      <c r="K59" s="120"/>
      <c r="L59" s="119">
        <v>1.1805555555555555E-2</v>
      </c>
      <c r="M59" s="1">
        <f t="shared" si="3"/>
        <v>1.1805555555555555E-2</v>
      </c>
      <c r="N59" s="119">
        <v>4.1666666666666664E-2</v>
      </c>
      <c r="O59" s="1">
        <f t="shared" si="4"/>
        <v>0.27152777777777776</v>
      </c>
      <c r="P59" s="4">
        <f t="shared" si="5"/>
        <v>6.5166666666666657</v>
      </c>
      <c r="Q59" s="5">
        <f t="shared" si="6"/>
        <v>8</v>
      </c>
      <c r="R59" s="5"/>
      <c r="S59" s="1">
        <f>IF(G59&lt;Daten!$T$3,Dienste!G59,0)</f>
        <v>0</v>
      </c>
      <c r="T59" s="1">
        <f>IF(G59&lt;Daten!$T$3,IF(H59&gt;Daten!$T$3,Daten!$T$3,Dienste!H59),0)</f>
        <v>0</v>
      </c>
      <c r="U59" s="1">
        <f>IF(H59*24&gt;Daten!$T$2*24+24, (Daten!$T$2*24+24)/24, 0)</f>
        <v>0</v>
      </c>
      <c r="V59" s="1">
        <f>IF(H59*24&gt;Daten!$T$2*24+24,IF(H59*24&gt;Daten!$T$3*24+24,(Daten!$T$3*24+24)/24,H59),0)</f>
        <v>0</v>
      </c>
      <c r="W59" s="4">
        <f t="shared" si="7"/>
        <v>0</v>
      </c>
    </row>
    <row r="60" spans="2:23">
      <c r="B60" s="46">
        <f t="shared" si="8"/>
        <v>44317</v>
      </c>
      <c r="C60" s="5" t="str">
        <f t="shared" si="0"/>
        <v>44317 Dienst 23 Sa oR</v>
      </c>
      <c r="D60" s="104" t="s">
        <v>263</v>
      </c>
      <c r="E60" s="226"/>
      <c r="F60" s="5" t="str">
        <f t="shared" si="9"/>
        <v>Tour 23 Sa oR</v>
      </c>
      <c r="G60" s="103">
        <v>0.65</v>
      </c>
      <c r="H60" s="103">
        <v>0.95277777777777783</v>
      </c>
      <c r="I60" s="1">
        <f t="shared" si="1"/>
        <v>0.30277777777777781</v>
      </c>
      <c r="J60" s="4">
        <f t="shared" si="2"/>
        <v>7.2666666666666675</v>
      </c>
      <c r="K60" s="120"/>
      <c r="L60" s="119">
        <v>1.0416666666666666E-2</v>
      </c>
      <c r="M60" s="1">
        <f t="shared" si="3"/>
        <v>1.0416666666666666E-2</v>
      </c>
      <c r="N60" s="119">
        <v>4.1666666666666664E-2</v>
      </c>
      <c r="O60" s="1">
        <f t="shared" si="4"/>
        <v>0.27083333333333331</v>
      </c>
      <c r="P60" s="4">
        <f t="shared" si="5"/>
        <v>6.5</v>
      </c>
      <c r="Q60" s="5">
        <f t="shared" si="6"/>
        <v>8</v>
      </c>
      <c r="R60" s="5"/>
      <c r="S60" s="1">
        <f>IF(G60&lt;Daten!$T$3,Dienste!G60,0)</f>
        <v>0</v>
      </c>
      <c r="T60" s="1">
        <f>IF(G60&lt;Daten!$T$3,IF(H60&gt;Daten!$T$3,Daten!$T$3,Dienste!H60),0)</f>
        <v>0</v>
      </c>
      <c r="U60" s="1">
        <f>IF(H60*24&gt;Daten!$T$2*24+24, (Daten!$T$2*24+24)/24, 0)</f>
        <v>0</v>
      </c>
      <c r="V60" s="1">
        <f>IF(H60*24&gt;Daten!$T$2*24+24,IF(H60*24&gt;Daten!$T$3*24+24,(Daten!$T$3*24+24)/24,H60),0)</f>
        <v>0</v>
      </c>
      <c r="W60" s="4">
        <f t="shared" si="7"/>
        <v>0</v>
      </c>
    </row>
    <row r="61" spans="2:23">
      <c r="B61" s="46">
        <f t="shared" si="8"/>
        <v>44317</v>
      </c>
      <c r="C61" s="5" t="str">
        <f t="shared" si="0"/>
        <v>44317 Dienst 24 Sa mR</v>
      </c>
      <c r="D61" s="104" t="s">
        <v>264</v>
      </c>
      <c r="E61" s="226"/>
      <c r="F61" s="5" t="str">
        <f t="shared" si="9"/>
        <v>Tour 24 Sa mR</v>
      </c>
      <c r="G61" s="103">
        <v>0.66805555555555562</v>
      </c>
      <c r="H61" s="103">
        <v>0.96319444444444446</v>
      </c>
      <c r="I61" s="1">
        <f t="shared" si="1"/>
        <v>0.29513888888888884</v>
      </c>
      <c r="J61" s="4">
        <f t="shared" si="2"/>
        <v>7.0833333333333321</v>
      </c>
      <c r="K61" s="120"/>
      <c r="L61" s="119">
        <v>1.7361111111111112E-2</v>
      </c>
      <c r="M61" s="1">
        <f t="shared" si="3"/>
        <v>1.7361111111111112E-2</v>
      </c>
      <c r="N61" s="119">
        <v>1.9444444444444445E-2</v>
      </c>
      <c r="O61" s="1">
        <f t="shared" si="4"/>
        <v>0.27569444444444441</v>
      </c>
      <c r="P61" s="4">
        <f t="shared" si="5"/>
        <v>6.6166666666666654</v>
      </c>
      <c r="Q61" s="5">
        <f t="shared" si="6"/>
        <v>7</v>
      </c>
      <c r="R61" s="5"/>
      <c r="S61" s="1">
        <f>IF(G61&lt;Daten!$T$3,Dienste!G61,0)</f>
        <v>0</v>
      </c>
      <c r="T61" s="1">
        <f>IF(G61&lt;Daten!$T$3,IF(H61&gt;Daten!$T$3,Daten!$T$3,Dienste!H61),0)</f>
        <v>0</v>
      </c>
      <c r="U61" s="1">
        <f>IF(H61*24&gt;Daten!$T$2*24+24, (Daten!$T$2*24+24)/24, 0)</f>
        <v>0</v>
      </c>
      <c r="V61" s="1">
        <f>IF(H61*24&gt;Daten!$T$2*24+24,IF(H61*24&gt;Daten!$T$3*24+24,(Daten!$T$3*24+24)/24,H61),0)</f>
        <v>0</v>
      </c>
      <c r="W61" s="4">
        <f t="shared" si="7"/>
        <v>0</v>
      </c>
    </row>
    <row r="62" spans="2:23">
      <c r="B62" s="46">
        <f t="shared" si="8"/>
        <v>44317</v>
      </c>
      <c r="C62" s="5" t="str">
        <f t="shared" si="0"/>
        <v>44317 Dienst 24 Sa oR</v>
      </c>
      <c r="D62" s="104" t="s">
        <v>265</v>
      </c>
      <c r="E62" s="226"/>
      <c r="F62" s="5" t="str">
        <f t="shared" si="9"/>
        <v>Tour 24 Sa oR</v>
      </c>
      <c r="G62" s="103">
        <v>0.66805555555555562</v>
      </c>
      <c r="H62" s="103">
        <v>0.95277777777777783</v>
      </c>
      <c r="I62" s="1">
        <f t="shared" si="1"/>
        <v>0.28472222222222221</v>
      </c>
      <c r="J62" s="4">
        <f t="shared" si="2"/>
        <v>6.833333333333333</v>
      </c>
      <c r="K62" s="120"/>
      <c r="L62" s="119">
        <v>1.0416666666666666E-2</v>
      </c>
      <c r="M62" s="1">
        <f t="shared" si="3"/>
        <v>1.0416666666666666E-2</v>
      </c>
      <c r="N62" s="119">
        <v>1.9444444444444445E-2</v>
      </c>
      <c r="O62" s="1">
        <f t="shared" si="4"/>
        <v>0.27083333333333331</v>
      </c>
      <c r="P62" s="4">
        <f t="shared" si="5"/>
        <v>6.5</v>
      </c>
      <c r="Q62" s="5">
        <f t="shared" si="6"/>
        <v>7</v>
      </c>
      <c r="R62" s="5"/>
      <c r="S62" s="1">
        <f>IF(G62&lt;Daten!$T$3,Dienste!G62,0)</f>
        <v>0</v>
      </c>
      <c r="T62" s="1">
        <f>IF(G62&lt;Daten!$T$3,IF(H62&gt;Daten!$T$3,Daten!$T$3,Dienste!H62),0)</f>
        <v>0</v>
      </c>
      <c r="U62" s="1">
        <f>IF(H62*24&gt;Daten!$T$2*24+24, (Daten!$T$2*24+24)/24, 0)</f>
        <v>0</v>
      </c>
      <c r="V62" s="1">
        <f>IF(H62*24&gt;Daten!$T$2*24+24,IF(H62*24&gt;Daten!$T$3*24+24,(Daten!$T$3*24+24)/24,H62),0)</f>
        <v>0</v>
      </c>
      <c r="W62" s="4">
        <f t="shared" si="7"/>
        <v>0</v>
      </c>
    </row>
    <row r="63" spans="2:23">
      <c r="B63" s="46">
        <f t="shared" si="8"/>
        <v>44317</v>
      </c>
      <c r="C63" s="5" t="str">
        <f t="shared" si="0"/>
        <v>44317 Dienst 25 Sa</v>
      </c>
      <c r="D63" s="104" t="s">
        <v>266</v>
      </c>
      <c r="E63" s="226"/>
      <c r="F63" s="5" t="str">
        <f t="shared" si="9"/>
        <v>Tour 25 Sa</v>
      </c>
      <c r="G63" s="103">
        <v>0.46249999999999997</v>
      </c>
      <c r="H63" s="103">
        <v>0.95000000000000007</v>
      </c>
      <c r="I63" s="1">
        <f t="shared" si="1"/>
        <v>0.4875000000000001</v>
      </c>
      <c r="J63" s="4">
        <f t="shared" si="2"/>
        <v>11.700000000000003</v>
      </c>
      <c r="K63" s="120"/>
      <c r="L63" s="119">
        <v>1.0416666666666666E-2</v>
      </c>
      <c r="M63" s="1">
        <f t="shared" si="3"/>
        <v>1.0416666666666666E-2</v>
      </c>
      <c r="N63" s="119">
        <v>6.25E-2</v>
      </c>
      <c r="O63" s="1">
        <f t="shared" si="4"/>
        <v>0.4250000000000001</v>
      </c>
      <c r="P63" s="4">
        <f t="shared" si="5"/>
        <v>10.200000000000003</v>
      </c>
      <c r="Q63" s="5">
        <f t="shared" si="6"/>
        <v>12</v>
      </c>
      <c r="R63" s="5"/>
      <c r="S63" s="1">
        <f>IF(G63&lt;Daten!$T$3,Dienste!G63,0)</f>
        <v>0</v>
      </c>
      <c r="T63" s="1">
        <f>IF(G63&lt;Daten!$T$3,IF(H63&gt;Daten!$T$3,Daten!$T$3,Dienste!H63),0)</f>
        <v>0</v>
      </c>
      <c r="U63" s="1">
        <f>IF(H63*24&gt;Daten!$T$2*24+24, (Daten!$T$2*24+24)/24, 0)</f>
        <v>0</v>
      </c>
      <c r="V63" s="1">
        <f>IF(H63*24&gt;Daten!$T$2*24+24,IF(H63*24&gt;Daten!$T$3*24+24,(Daten!$T$3*24+24)/24,H63),0)</f>
        <v>0</v>
      </c>
      <c r="W63" s="4">
        <f t="shared" si="7"/>
        <v>0</v>
      </c>
    </row>
    <row r="64" spans="2:23">
      <c r="B64" s="46">
        <f t="shared" si="8"/>
        <v>44317</v>
      </c>
      <c r="C64" s="5" t="str">
        <f t="shared" si="0"/>
        <v>44317 Dienst 26 Sa mR</v>
      </c>
      <c r="D64" s="104" t="s">
        <v>267</v>
      </c>
      <c r="E64" s="226"/>
      <c r="F64" s="5" t="str">
        <f t="shared" si="9"/>
        <v>Tour 26 Sa mR</v>
      </c>
      <c r="G64" s="103">
        <v>0.62638888888888888</v>
      </c>
      <c r="H64" s="103">
        <v>0.9243055555555556</v>
      </c>
      <c r="I64" s="1">
        <f t="shared" si="1"/>
        <v>0.29791666666666672</v>
      </c>
      <c r="J64" s="4">
        <f t="shared" si="2"/>
        <v>7.1500000000000012</v>
      </c>
      <c r="K64" s="120"/>
      <c r="L64" s="119">
        <v>1.2499999999999999E-2</v>
      </c>
      <c r="M64" s="1">
        <f t="shared" si="3"/>
        <v>1.2499999999999999E-2</v>
      </c>
      <c r="N64" s="119">
        <v>1.9444444444444445E-2</v>
      </c>
      <c r="O64" s="1">
        <f t="shared" si="4"/>
        <v>0.27847222222222229</v>
      </c>
      <c r="P64" s="4">
        <f t="shared" si="5"/>
        <v>6.6833333333333353</v>
      </c>
      <c r="Q64" s="5">
        <f t="shared" si="6"/>
        <v>7</v>
      </c>
      <c r="R64" s="5"/>
      <c r="S64" s="1">
        <f>IF(G64&lt;Daten!$T$3,Dienste!G64,0)</f>
        <v>0</v>
      </c>
      <c r="T64" s="1">
        <f>IF(G64&lt;Daten!$T$3,IF(H64&gt;Daten!$T$3,Daten!$T$3,Dienste!H64),0)</f>
        <v>0</v>
      </c>
      <c r="U64" s="1">
        <f>IF(H64*24&gt;Daten!$T$2*24+24, (Daten!$T$2*24+24)/24, 0)</f>
        <v>0</v>
      </c>
      <c r="V64" s="1">
        <f>IF(H64*24&gt;Daten!$T$2*24+24,IF(H64*24&gt;Daten!$T$3*24+24,(Daten!$T$3*24+24)/24,H64),0)</f>
        <v>0</v>
      </c>
      <c r="W64" s="4">
        <f t="shared" si="7"/>
        <v>0</v>
      </c>
    </row>
    <row r="65" spans="1:23">
      <c r="B65" s="46">
        <f t="shared" si="8"/>
        <v>44317</v>
      </c>
      <c r="C65" s="5" t="str">
        <f t="shared" si="0"/>
        <v>44317 Dienst 26 Sa oR</v>
      </c>
      <c r="D65" s="104" t="s">
        <v>268</v>
      </c>
      <c r="E65" s="226"/>
      <c r="F65" s="5" t="str">
        <f t="shared" si="9"/>
        <v>Tour 26 Sa oR</v>
      </c>
      <c r="G65" s="103">
        <v>0.62638888888888888</v>
      </c>
      <c r="H65" s="103">
        <v>0.91388888888888886</v>
      </c>
      <c r="I65" s="1">
        <f t="shared" si="1"/>
        <v>0.28749999999999998</v>
      </c>
      <c r="J65" s="4">
        <f t="shared" si="2"/>
        <v>6.8999999999999995</v>
      </c>
      <c r="K65" s="120"/>
      <c r="L65" s="119">
        <v>1.0416666666666666E-2</v>
      </c>
      <c r="M65" s="1">
        <f t="shared" si="3"/>
        <v>1.0416666666666666E-2</v>
      </c>
      <c r="N65" s="119">
        <v>1.9444444444444445E-2</v>
      </c>
      <c r="O65" s="1">
        <f t="shared" si="4"/>
        <v>0.27083333333333331</v>
      </c>
      <c r="P65" s="4">
        <f t="shared" si="5"/>
        <v>6.5</v>
      </c>
      <c r="Q65" s="5">
        <f t="shared" si="6"/>
        <v>7</v>
      </c>
      <c r="R65" s="5"/>
      <c r="S65" s="1">
        <f>IF(G65&lt;Daten!$T$3,Dienste!G65,0)</f>
        <v>0</v>
      </c>
      <c r="T65" s="1">
        <f>IF(G65&lt;Daten!$T$3,IF(H65&gt;Daten!$T$3,Daten!$T$3,Dienste!H65),0)</f>
        <v>0</v>
      </c>
      <c r="U65" s="1">
        <f>IF(H65*24&gt;Daten!$T$2*24+24, (Daten!$T$2*24+24)/24, 0)</f>
        <v>0</v>
      </c>
      <c r="V65" s="1">
        <f>IF(H65*24&gt;Daten!$T$2*24+24,IF(H65*24&gt;Daten!$T$3*24+24,(Daten!$T$3*24+24)/24,H65),0)</f>
        <v>0</v>
      </c>
      <c r="W65" s="4">
        <f t="shared" si="7"/>
        <v>0</v>
      </c>
    </row>
    <row r="66" spans="1:23">
      <c r="B66" s="46">
        <f t="shared" si="8"/>
        <v>44317</v>
      </c>
      <c r="C66" s="5" t="str">
        <f t="shared" si="0"/>
        <v>44317 Dienst 1 SoF</v>
      </c>
      <c r="D66" s="104" t="s">
        <v>269</v>
      </c>
      <c r="E66" s="226" t="s">
        <v>4</v>
      </c>
      <c r="F66" s="5" t="str">
        <f t="shared" si="9"/>
        <v>Tour 1 SoF</v>
      </c>
      <c r="G66" s="102">
        <v>0.28055555555555556</v>
      </c>
      <c r="H66" s="102">
        <v>0.88888888888888884</v>
      </c>
      <c r="I66" s="1">
        <f t="shared" si="1"/>
        <v>0.60833333333333328</v>
      </c>
      <c r="J66" s="4">
        <f t="shared" si="2"/>
        <v>14.599999999999998</v>
      </c>
      <c r="K66" s="118">
        <v>6.9444444444444753E-3</v>
      </c>
      <c r="L66" s="118">
        <v>1.041666666666663E-2</v>
      </c>
      <c r="M66" s="1">
        <f t="shared" si="3"/>
        <v>1.7361111111111105E-2</v>
      </c>
      <c r="N66" s="119">
        <v>6.25E-2</v>
      </c>
      <c r="O66" s="1">
        <f t="shared" si="4"/>
        <v>0.54583333333333328</v>
      </c>
      <c r="P66" s="4">
        <f t="shared" si="5"/>
        <v>13.099999999999998</v>
      </c>
      <c r="Q66" s="5">
        <f t="shared" si="6"/>
        <v>12</v>
      </c>
      <c r="R66" s="5"/>
      <c r="S66" s="1">
        <f>IF(G66&lt;Daten!$T$3,Dienste!G66,0)</f>
        <v>0</v>
      </c>
      <c r="T66" s="1">
        <f>IF(G66&lt;Daten!$T$3,IF(H66&gt;Daten!$T$3,Daten!$T$3,Dienste!H66),0)</f>
        <v>0</v>
      </c>
      <c r="U66" s="1">
        <f>IF(H66*24&gt;Daten!$T$2*24+24, (Daten!$T$2*24+24)/24, 0)</f>
        <v>0</v>
      </c>
      <c r="V66" s="1">
        <f>IF(H66*24&gt;Daten!$T$2*24+24,IF(H66*24&gt;Daten!$T$3*24+24,(Daten!$T$3*24+24)/24,H66),0)</f>
        <v>0</v>
      </c>
      <c r="W66" s="4">
        <f t="shared" si="7"/>
        <v>0</v>
      </c>
    </row>
    <row r="67" spans="1:23">
      <c r="B67" s="46">
        <f t="shared" si="8"/>
        <v>44317</v>
      </c>
      <c r="C67" s="5" t="str">
        <f t="shared" si="0"/>
        <v>44317 Dienst 2 SoF</v>
      </c>
      <c r="D67" s="104" t="s">
        <v>270</v>
      </c>
      <c r="E67" s="226"/>
      <c r="F67" s="5" t="str">
        <f t="shared" si="9"/>
        <v>Tour 2 SoF</v>
      </c>
      <c r="G67" s="102">
        <v>0.30486111111111108</v>
      </c>
      <c r="H67" s="102">
        <v>0.76874999999999993</v>
      </c>
      <c r="I67" s="1">
        <f t="shared" si="1"/>
        <v>0.46388888888888885</v>
      </c>
      <c r="J67" s="4">
        <f t="shared" si="2"/>
        <v>11.133333333333333</v>
      </c>
      <c r="K67" s="118">
        <v>6.9444444444444753E-3</v>
      </c>
      <c r="L67" s="118">
        <v>0</v>
      </c>
      <c r="M67" s="1">
        <f t="shared" si="3"/>
        <v>6.9444444444444753E-3</v>
      </c>
      <c r="N67" s="119">
        <v>5.0694444444444452E-2</v>
      </c>
      <c r="O67" s="1">
        <f t="shared" si="4"/>
        <v>0.41319444444444442</v>
      </c>
      <c r="P67" s="4">
        <f t="shared" si="5"/>
        <v>9.9166666666666661</v>
      </c>
      <c r="Q67" s="5">
        <f t="shared" si="6"/>
        <v>11</v>
      </c>
      <c r="R67" s="5"/>
      <c r="S67" s="1">
        <f>IF(G67&lt;Daten!$T$3,Dienste!G67,0)</f>
        <v>0</v>
      </c>
      <c r="T67" s="1">
        <f>IF(G67&lt;Daten!$T$3,IF(H67&gt;Daten!$T$3,Daten!$T$3,Dienste!H67),0)</f>
        <v>0</v>
      </c>
      <c r="U67" s="1">
        <f>IF(H67*24&gt;Daten!$T$2*24+24, (Daten!$T$2*24+24)/24, 0)</f>
        <v>0</v>
      </c>
      <c r="V67" s="1">
        <f>IF(H67*24&gt;Daten!$T$2*24+24,IF(H67*24&gt;Daten!$T$3*24+24,(Daten!$T$3*24+24)/24,H67),0)</f>
        <v>0</v>
      </c>
      <c r="W67" s="4">
        <f t="shared" si="7"/>
        <v>0</v>
      </c>
    </row>
    <row r="68" spans="1:23">
      <c r="B68" s="46">
        <f t="shared" si="8"/>
        <v>44317</v>
      </c>
      <c r="C68" s="5" t="str">
        <f t="shared" si="0"/>
        <v>44317 Dienst 3 SoF</v>
      </c>
      <c r="D68" s="104" t="s">
        <v>271</v>
      </c>
      <c r="E68" s="226"/>
      <c r="F68" s="5" t="str">
        <f t="shared" si="9"/>
        <v>Tour 3 SoF</v>
      </c>
      <c r="G68" s="102">
        <v>0.27777777777777779</v>
      </c>
      <c r="H68" s="102">
        <v>0.72777777777777775</v>
      </c>
      <c r="I68" s="1">
        <f t="shared" si="1"/>
        <v>0.44999999999999996</v>
      </c>
      <c r="J68" s="4">
        <f t="shared" si="2"/>
        <v>10.799999999999999</v>
      </c>
      <c r="K68" s="118">
        <v>6.9444444444444198E-3</v>
      </c>
      <c r="L68" s="118">
        <v>0</v>
      </c>
      <c r="M68" s="1">
        <f t="shared" si="3"/>
        <v>6.9444444444444198E-3</v>
      </c>
      <c r="N68" s="119">
        <v>4.7222222222222221E-2</v>
      </c>
      <c r="O68" s="1">
        <f t="shared" si="4"/>
        <v>0.40277777777777773</v>
      </c>
      <c r="P68" s="4">
        <f t="shared" si="5"/>
        <v>9.6666666666666661</v>
      </c>
      <c r="Q68" s="5">
        <f t="shared" si="6"/>
        <v>11</v>
      </c>
      <c r="R68" s="5"/>
      <c r="S68" s="1">
        <f>IF(G68&lt;Daten!$T$3,Dienste!G68,0)</f>
        <v>0</v>
      </c>
      <c r="T68" s="1">
        <f>IF(G68&lt;Daten!$T$3,IF(H68&gt;Daten!$T$3,Daten!$T$3,Dienste!H68),0)</f>
        <v>0</v>
      </c>
      <c r="U68" s="1">
        <f>IF(H68*24&gt;Daten!$T$2*24+24, (Daten!$T$2*24+24)/24, 0)</f>
        <v>0</v>
      </c>
      <c r="V68" s="1">
        <f>IF(H68*24&gt;Daten!$T$2*24+24,IF(H68*24&gt;Daten!$T$3*24+24,(Daten!$T$3*24+24)/24,H68),0)</f>
        <v>0</v>
      </c>
      <c r="W68" s="4">
        <f t="shared" si="7"/>
        <v>0</v>
      </c>
    </row>
    <row r="69" spans="1:23">
      <c r="B69" s="46">
        <f t="shared" si="8"/>
        <v>44317</v>
      </c>
      <c r="C69" s="5" t="str">
        <f t="shared" ref="C69:C75" si="10">CONCATENATE(B69," ",D69)</f>
        <v>44317 Dienst 4 SoF</v>
      </c>
      <c r="D69" s="104" t="s">
        <v>272</v>
      </c>
      <c r="E69" s="226"/>
      <c r="F69" s="5" t="str">
        <f t="shared" si="9"/>
        <v>Tour 4 SoF</v>
      </c>
      <c r="G69" s="102">
        <v>0.30069444444444443</v>
      </c>
      <c r="H69" s="102">
        <v>0.86597222222222225</v>
      </c>
      <c r="I69" s="1">
        <f t="shared" ref="I69:I75" si="11">H69-G69</f>
        <v>0.56527777777777777</v>
      </c>
      <c r="J69" s="4">
        <f t="shared" ref="J69:J75" si="12">I69*24</f>
        <v>13.566666666666666</v>
      </c>
      <c r="K69" s="118">
        <v>6.9444444444444753E-3</v>
      </c>
      <c r="L69" s="118">
        <v>1.041666666666663E-2</v>
      </c>
      <c r="M69" s="1">
        <f t="shared" ref="M69:M75" si="13">L69+K69</f>
        <v>1.7361111111111105E-2</v>
      </c>
      <c r="N69" s="119">
        <v>6.25E-2</v>
      </c>
      <c r="O69" s="1">
        <f t="shared" ref="O69:O75" si="14">IF((H69-G69-N69)*24&lt;6.5,6.5/24,H69-G69-N69)</f>
        <v>0.50277777777777777</v>
      </c>
      <c r="P69" s="4">
        <f t="shared" ref="P69:P75" si="15">O69*24</f>
        <v>12.066666666666666</v>
      </c>
      <c r="Q69" s="5">
        <f t="shared" ref="Q69:Q75" si="16">IF((I69-M69)*24&lt;3,0,IF(ROUNDUP((I69-M69)*24,0)&gt;12,12,ROUNDUP((I69-M69)*24,0)))</f>
        <v>12</v>
      </c>
      <c r="R69" s="5"/>
      <c r="S69" s="1">
        <f>IF(G69&lt;Daten!$T$3,Dienste!G69,0)</f>
        <v>0</v>
      </c>
      <c r="T69" s="1">
        <f>IF(G69&lt;Daten!$T$3,IF(H69&gt;Daten!$T$3,Daten!$T$3,Dienste!H69),0)</f>
        <v>0</v>
      </c>
      <c r="U69" s="1">
        <f>IF(H69*24&gt;Daten!$T$2*24+24, (Daten!$T$2*24+24)/24, 0)</f>
        <v>0</v>
      </c>
      <c r="V69" s="1">
        <f>IF(H69*24&gt;Daten!$T$2*24+24,IF(H69*24&gt;Daten!$T$3*24+24,(Daten!$T$3*24+24)/24,H69),0)</f>
        <v>0</v>
      </c>
      <c r="W69" s="4">
        <f t="shared" ref="W69:W75" si="17">((V69-U69)+(T69-S69))*24</f>
        <v>0</v>
      </c>
    </row>
    <row r="70" spans="1:23">
      <c r="B70" s="46">
        <f t="shared" ref="B70:B75" si="18">IF(NOT(A70=""),A70,B69)</f>
        <v>44317</v>
      </c>
      <c r="C70" s="5" t="str">
        <f t="shared" si="10"/>
        <v>44317 Dienst 5 SoF</v>
      </c>
      <c r="D70" s="104" t="s">
        <v>273</v>
      </c>
      <c r="E70" s="226"/>
      <c r="F70" s="5" t="str">
        <f t="shared" ref="F70:F133" si="19">CONCATENATE("Tour",RIGHT(D70,LEN(D70)-6))</f>
        <v>Tour 5 SoF</v>
      </c>
      <c r="G70" s="102">
        <v>0.31388888888888888</v>
      </c>
      <c r="H70" s="102">
        <v>0.86249999999999993</v>
      </c>
      <c r="I70" s="1">
        <f t="shared" si="11"/>
        <v>0.54861111111111105</v>
      </c>
      <c r="J70" s="4">
        <f t="shared" si="12"/>
        <v>13.166666666666664</v>
      </c>
      <c r="K70" s="118">
        <v>0</v>
      </c>
      <c r="L70" s="118">
        <v>1.041666666666663E-2</v>
      </c>
      <c r="M70" s="1">
        <f t="shared" si="13"/>
        <v>1.041666666666663E-2</v>
      </c>
      <c r="N70" s="119">
        <v>6.25E-2</v>
      </c>
      <c r="O70" s="1">
        <f t="shared" si="14"/>
        <v>0.48611111111111105</v>
      </c>
      <c r="P70" s="4">
        <f t="shared" si="15"/>
        <v>11.666666666666664</v>
      </c>
      <c r="Q70" s="5">
        <f t="shared" si="16"/>
        <v>12</v>
      </c>
      <c r="R70" s="5"/>
      <c r="S70" s="1">
        <f>IF(G70&lt;Daten!$T$3,Dienste!G70,0)</f>
        <v>0</v>
      </c>
      <c r="T70" s="1">
        <f>IF(G70&lt;Daten!$T$3,IF(H70&gt;Daten!$T$3,Daten!$T$3,Dienste!H70),0)</f>
        <v>0</v>
      </c>
      <c r="U70" s="1">
        <f>IF(H70*24&gt;Daten!$T$2*24+24, (Daten!$T$2*24+24)/24, 0)</f>
        <v>0</v>
      </c>
      <c r="V70" s="1">
        <f>IF(H70*24&gt;Daten!$T$2*24+24,IF(H70*24&gt;Daten!$T$3*24+24,(Daten!$T$3*24+24)/24,H70),0)</f>
        <v>0</v>
      </c>
      <c r="W70" s="4">
        <f t="shared" si="17"/>
        <v>0</v>
      </c>
    </row>
    <row r="71" spans="1:23">
      <c r="B71" s="46">
        <f t="shared" si="18"/>
        <v>44317</v>
      </c>
      <c r="C71" s="5" t="str">
        <f t="shared" si="10"/>
        <v>44317 Dienst 6 SoF</v>
      </c>
      <c r="D71" s="104" t="s">
        <v>274</v>
      </c>
      <c r="E71" s="226"/>
      <c r="F71" s="5" t="str">
        <f t="shared" si="19"/>
        <v>Tour 6 SoF</v>
      </c>
      <c r="G71" s="102">
        <v>0.26805555555555555</v>
      </c>
      <c r="H71" s="102">
        <v>0.88958333333333339</v>
      </c>
      <c r="I71" s="1">
        <f t="shared" si="11"/>
        <v>0.6215277777777779</v>
      </c>
      <c r="J71" s="4">
        <f t="shared" si="12"/>
        <v>14.91666666666667</v>
      </c>
      <c r="K71" s="118">
        <v>6.9444444444444198E-3</v>
      </c>
      <c r="L71" s="118">
        <v>1.041666666666663E-2</v>
      </c>
      <c r="M71" s="1">
        <f t="shared" si="13"/>
        <v>1.7361111111111049E-2</v>
      </c>
      <c r="N71" s="119">
        <v>6.25E-2</v>
      </c>
      <c r="O71" s="1">
        <f t="shared" si="14"/>
        <v>0.5590277777777779</v>
      </c>
      <c r="P71" s="4">
        <f t="shared" si="15"/>
        <v>13.41666666666667</v>
      </c>
      <c r="Q71" s="5">
        <f t="shared" si="16"/>
        <v>12</v>
      </c>
      <c r="R71" s="5"/>
      <c r="S71" s="1">
        <f>IF(G71&lt;Daten!$T$3,Dienste!G71,0)</f>
        <v>0</v>
      </c>
      <c r="T71" s="1">
        <f>IF(G71&lt;Daten!$T$3,IF(H71&gt;Daten!$T$3,Daten!$T$3,Dienste!H71),0)</f>
        <v>0</v>
      </c>
      <c r="U71" s="1">
        <f>IF(H71*24&gt;Daten!$T$2*24+24, (Daten!$T$2*24+24)/24, 0)</f>
        <v>0</v>
      </c>
      <c r="V71" s="1">
        <f>IF(H71*24&gt;Daten!$T$2*24+24,IF(H71*24&gt;Daten!$T$3*24+24,(Daten!$T$3*24+24)/24,H71),0)</f>
        <v>0</v>
      </c>
      <c r="W71" s="4">
        <f t="shared" si="17"/>
        <v>0</v>
      </c>
    </row>
    <row r="72" spans="1:23">
      <c r="B72" s="46">
        <f t="shared" si="18"/>
        <v>44317</v>
      </c>
      <c r="C72" s="5" t="str">
        <f t="shared" si="10"/>
        <v>44317 Dienst 7 SoF</v>
      </c>
      <c r="D72" s="104" t="s">
        <v>275</v>
      </c>
      <c r="E72" s="226"/>
      <c r="F72" s="5" t="str">
        <f t="shared" si="19"/>
        <v>Tour 7 SoF</v>
      </c>
      <c r="G72" s="102">
        <v>0.26805555555555555</v>
      </c>
      <c r="H72" s="102">
        <v>0.8930555555555556</v>
      </c>
      <c r="I72" s="1">
        <f t="shared" si="11"/>
        <v>0.625</v>
      </c>
      <c r="J72" s="4">
        <f t="shared" si="12"/>
        <v>15</v>
      </c>
      <c r="K72" s="118">
        <v>6.9444444444444198E-3</v>
      </c>
      <c r="L72" s="118">
        <v>1.0416666666666741E-2</v>
      </c>
      <c r="M72" s="1">
        <f t="shared" si="13"/>
        <v>1.736111111111116E-2</v>
      </c>
      <c r="N72" s="119">
        <v>6.25E-2</v>
      </c>
      <c r="O72" s="1">
        <f t="shared" si="14"/>
        <v>0.5625</v>
      </c>
      <c r="P72" s="4">
        <f t="shared" si="15"/>
        <v>13.5</v>
      </c>
      <c r="Q72" s="5">
        <f t="shared" si="16"/>
        <v>12</v>
      </c>
      <c r="R72" s="5"/>
      <c r="S72" s="1">
        <f>IF(G72&lt;Daten!$T$3,Dienste!G72,0)</f>
        <v>0</v>
      </c>
      <c r="T72" s="1">
        <f>IF(G72&lt;Daten!$T$3,IF(H72&gt;Daten!$T$3,Daten!$T$3,Dienste!H72),0)</f>
        <v>0</v>
      </c>
      <c r="U72" s="1">
        <f>IF(H72*24&gt;Daten!$T$2*24+24, (Daten!$T$2*24+24)/24, 0)</f>
        <v>0</v>
      </c>
      <c r="V72" s="1">
        <f>IF(H72*24&gt;Daten!$T$2*24+24,IF(H72*24&gt;Daten!$T$3*24+24,(Daten!$T$3*24+24)/24,H72),0)</f>
        <v>0</v>
      </c>
      <c r="W72" s="4">
        <f t="shared" si="17"/>
        <v>0</v>
      </c>
    </row>
    <row r="73" spans="1:23">
      <c r="B73" s="46">
        <f t="shared" si="18"/>
        <v>44317</v>
      </c>
      <c r="C73" s="5" t="str">
        <f t="shared" si="10"/>
        <v>44317 Dienst 8 SoF</v>
      </c>
      <c r="D73" s="104" t="s">
        <v>276</v>
      </c>
      <c r="E73" s="226"/>
      <c r="F73" s="5" t="str">
        <f t="shared" si="19"/>
        <v>Tour 8 SoF</v>
      </c>
      <c r="G73" s="102">
        <v>0.39444444444444443</v>
      </c>
      <c r="H73" s="102">
        <v>0.89444444444444438</v>
      </c>
      <c r="I73" s="1">
        <f t="shared" si="11"/>
        <v>0.49999999999999994</v>
      </c>
      <c r="J73" s="4">
        <f t="shared" si="12"/>
        <v>11.999999999999998</v>
      </c>
      <c r="K73" s="118">
        <v>0</v>
      </c>
      <c r="L73" s="118">
        <v>1.041666666666663E-2</v>
      </c>
      <c r="M73" s="1">
        <f t="shared" si="13"/>
        <v>1.041666666666663E-2</v>
      </c>
      <c r="N73" s="119">
        <v>6.25E-2</v>
      </c>
      <c r="O73" s="1">
        <f t="shared" si="14"/>
        <v>0.43749999999999994</v>
      </c>
      <c r="P73" s="4">
        <f t="shared" si="15"/>
        <v>10.499999999999998</v>
      </c>
      <c r="Q73" s="5">
        <f t="shared" si="16"/>
        <v>12</v>
      </c>
      <c r="R73" s="5"/>
      <c r="S73" s="1">
        <f>IF(G73&lt;Daten!$T$3,Dienste!G73,0)</f>
        <v>0</v>
      </c>
      <c r="T73" s="1">
        <f>IF(G73&lt;Daten!$T$3,IF(H73&gt;Daten!$T$3,Daten!$T$3,Dienste!H73),0)</f>
        <v>0</v>
      </c>
      <c r="U73" s="1">
        <f>IF(H73*24&gt;Daten!$T$2*24+24, (Daten!$T$2*24+24)/24, 0)</f>
        <v>0</v>
      </c>
      <c r="V73" s="1">
        <f>IF(H73*24&gt;Daten!$T$2*24+24,IF(H73*24&gt;Daten!$T$3*24+24,(Daten!$T$3*24+24)/24,H73),0)</f>
        <v>0</v>
      </c>
      <c r="W73" s="4">
        <f t="shared" si="17"/>
        <v>0</v>
      </c>
    </row>
    <row r="74" spans="1:23">
      <c r="B74" s="46">
        <f t="shared" si="18"/>
        <v>44317</v>
      </c>
      <c r="C74" s="5" t="str">
        <f t="shared" si="10"/>
        <v>44317 Dienst 9 SoF</v>
      </c>
      <c r="D74" s="104" t="s">
        <v>277</v>
      </c>
      <c r="E74" s="226"/>
      <c r="F74" s="5" t="str">
        <f t="shared" si="19"/>
        <v>Tour 9 SoF</v>
      </c>
      <c r="G74" s="102">
        <v>0.43611111111111112</v>
      </c>
      <c r="H74" s="102">
        <v>0.89027777777777783</v>
      </c>
      <c r="I74" s="1">
        <f t="shared" si="11"/>
        <v>0.45416666666666672</v>
      </c>
      <c r="J74" s="4">
        <f t="shared" si="12"/>
        <v>10.900000000000002</v>
      </c>
      <c r="K74" s="118">
        <v>0</v>
      </c>
      <c r="L74" s="118">
        <v>1.0416666666666741E-2</v>
      </c>
      <c r="M74" s="1">
        <f t="shared" si="13"/>
        <v>1.0416666666666741E-2</v>
      </c>
      <c r="N74" s="119">
        <v>6.25E-2</v>
      </c>
      <c r="O74" s="1">
        <f t="shared" si="14"/>
        <v>0.39166666666666672</v>
      </c>
      <c r="P74" s="4">
        <f t="shared" si="15"/>
        <v>9.4000000000000021</v>
      </c>
      <c r="Q74" s="5">
        <f t="shared" si="16"/>
        <v>11</v>
      </c>
      <c r="R74" s="5"/>
      <c r="S74" s="1">
        <f>IF(G74&lt;Daten!$T$3,Dienste!G74,0)</f>
        <v>0</v>
      </c>
      <c r="T74" s="1">
        <f>IF(G74&lt;Daten!$T$3,IF(H74&gt;Daten!$T$3,Daten!$T$3,Dienste!H74),0)</f>
        <v>0</v>
      </c>
      <c r="U74" s="1">
        <f>IF(H74*24&gt;Daten!$T$2*24+24, (Daten!$T$2*24+24)/24, 0)</f>
        <v>0</v>
      </c>
      <c r="V74" s="1">
        <f>IF(H74*24&gt;Daten!$T$2*24+24,IF(H74*24&gt;Daten!$T$3*24+24,(Daten!$T$3*24+24)/24,H74),0)</f>
        <v>0</v>
      </c>
      <c r="W74" s="4">
        <f t="shared" si="17"/>
        <v>0</v>
      </c>
    </row>
    <row r="75" spans="1:23">
      <c r="B75" s="46">
        <f t="shared" si="18"/>
        <v>44317</v>
      </c>
      <c r="C75" s="5" t="str">
        <f t="shared" si="10"/>
        <v>44317 Dienst 10 SoF</v>
      </c>
      <c r="D75" s="104" t="s">
        <v>278</v>
      </c>
      <c r="E75" s="226"/>
      <c r="F75" s="5" t="str">
        <f t="shared" si="19"/>
        <v>Tour 10 SoF</v>
      </c>
      <c r="G75" s="102">
        <v>0.27777777777777779</v>
      </c>
      <c r="H75" s="102">
        <v>0.76944444444444438</v>
      </c>
      <c r="I75" s="1">
        <f t="shared" si="11"/>
        <v>0.49166666666666659</v>
      </c>
      <c r="J75" s="4">
        <f t="shared" si="12"/>
        <v>11.799999999999997</v>
      </c>
      <c r="K75" s="118">
        <v>6.9444444444444198E-3</v>
      </c>
      <c r="L75" s="118">
        <v>0</v>
      </c>
      <c r="M75" s="1">
        <f t="shared" si="13"/>
        <v>6.9444444444444198E-3</v>
      </c>
      <c r="N75" s="119">
        <v>6.25E-2</v>
      </c>
      <c r="O75" s="1">
        <f t="shared" si="14"/>
        <v>0.42916666666666659</v>
      </c>
      <c r="P75" s="4">
        <f t="shared" si="15"/>
        <v>10.299999999999997</v>
      </c>
      <c r="Q75" s="5">
        <f t="shared" si="16"/>
        <v>12</v>
      </c>
      <c r="R75" s="5"/>
      <c r="S75" s="1">
        <f>IF(G75&lt;Daten!$T$3,Dienste!G75,0)</f>
        <v>0</v>
      </c>
      <c r="T75" s="1">
        <f>IF(G75&lt;Daten!$T$3,IF(H75&gt;Daten!$T$3,Daten!$T$3,Dienste!H75),0)</f>
        <v>0</v>
      </c>
      <c r="U75" s="1">
        <f>IF(H75*24&gt;Daten!$T$2*24+24, (Daten!$T$2*24+24)/24, 0)</f>
        <v>0</v>
      </c>
      <c r="V75" s="1">
        <f>IF(H75*24&gt;Daten!$T$2*24+24,IF(H75*24&gt;Daten!$T$3*24+24,(Daten!$T$3*24+24)/24,H75),0)</f>
        <v>0</v>
      </c>
      <c r="W75" s="4">
        <f t="shared" si="17"/>
        <v>0</v>
      </c>
    </row>
    <row r="76" spans="1:23">
      <c r="A76" s="106">
        <v>44578</v>
      </c>
      <c r="B76" s="46">
        <f>IF(NOT(A76=""),A76,B4)</f>
        <v>44578</v>
      </c>
      <c r="C76" s="5" t="str">
        <f>CONCATENATE(B76," ",D76)</f>
        <v>44578 Dienst 1</v>
      </c>
      <c r="D76" s="100" t="s">
        <v>208</v>
      </c>
      <c r="E76" s="226" t="s">
        <v>2</v>
      </c>
      <c r="F76" s="5" t="str">
        <f t="shared" si="19"/>
        <v>Tour 1</v>
      </c>
      <c r="G76" s="102">
        <v>0.19652777777777777</v>
      </c>
      <c r="H76" s="102">
        <v>0.4604166666666667</v>
      </c>
      <c r="I76" s="1">
        <f>H76-G76</f>
        <v>0.26388888888888895</v>
      </c>
      <c r="J76" s="4">
        <f>I76*24</f>
        <v>6.3333333333333348</v>
      </c>
      <c r="K76" s="118">
        <f>VLOOKUP(Dienste!C76,Regiezeiten!B:E,3,FALSE)</f>
        <v>6.9444444444444198E-3</v>
      </c>
      <c r="L76" s="118">
        <f>VLOOKUP(Dienste!C76,Regiezeiten!B:E,4,FALSE)</f>
        <v>0</v>
      </c>
      <c r="M76" s="1">
        <f>L76+K76</f>
        <v>6.9444444444444198E-3</v>
      </c>
      <c r="N76" s="118">
        <f>IF(VLOOKUP(C76,Pause!B:D,3,FALSE)&gt;Datenblatt!$B$12,Datenblatt!$B$12,VLOOKUP(C76,Pause!B:D,3,FALSE))</f>
        <v>3.6111111111111149E-2</v>
      </c>
      <c r="O76" s="1">
        <f t="shared" ref="O76:O107" si="20">IF((H76-G76-N76)*24&lt;6.5,6.5/24,H76-G76-N76)</f>
        <v>0.27083333333333331</v>
      </c>
      <c r="P76" s="4">
        <f t="shared" ref="P76:P107" si="21">O76*24</f>
        <v>6.5</v>
      </c>
      <c r="Q76">
        <f t="shared" ref="Q76:Q107" si="22">IF((I76-M76)*24&lt;3,0,IF(ROUNDUP((I76-M76)*24,0)&gt;12,12,ROUNDUP((I76-M76)*24,0)))</f>
        <v>7</v>
      </c>
      <c r="S76" s="1">
        <f>IF(G76&lt;Daten!$T$3,Dienste!G76,0)</f>
        <v>0.19652777777777777</v>
      </c>
      <c r="T76" s="1">
        <f>IF(G76&lt;Daten!$T$3,IF(H76&gt;Daten!$T$3,Daten!$T$3,Dienste!H76),0)</f>
        <v>0.20833333333333301</v>
      </c>
      <c r="U76" s="1">
        <f>IF(H76*24&gt;Daten!$T$2*24+24, (Daten!$T$2*24+24)/24, 0)</f>
        <v>0</v>
      </c>
      <c r="V76" s="1">
        <f>IF(H76*24&gt;Daten!$T$2*24+24,IF(H76*24&gt;Daten!$T$3*24+24,(Daten!$T$3*24+24)/24,H76),0)</f>
        <v>0</v>
      </c>
      <c r="W76" s="4">
        <f>((V76-U76)+(T76-S76))*24</f>
        <v>0.28333333333332567</v>
      </c>
    </row>
    <row r="77" spans="1:23">
      <c r="B77" s="46">
        <f t="shared" ref="B77:B140" si="23">IF(NOT(A77=""),A77,B76)</f>
        <v>44578</v>
      </c>
      <c r="C77" s="5" t="str">
        <f t="shared" ref="C77:C140" si="24">CONCATENATE(B77," ",D77)</f>
        <v>44578 Dienst 2</v>
      </c>
      <c r="D77" s="100" t="s">
        <v>209</v>
      </c>
      <c r="E77" s="226"/>
      <c r="F77" s="5" t="str">
        <f t="shared" si="19"/>
        <v>Tour 2</v>
      </c>
      <c r="G77" s="102">
        <v>0.21736111111111112</v>
      </c>
      <c r="H77" s="102">
        <v>0.75208333333333333</v>
      </c>
      <c r="I77" s="1">
        <f t="shared" ref="I77:I131" si="25">H77-G77</f>
        <v>0.53472222222222221</v>
      </c>
      <c r="J77" s="4">
        <f t="shared" ref="J77:J140" si="26">I77*24</f>
        <v>12.833333333333332</v>
      </c>
      <c r="K77" s="118">
        <f>VLOOKUP(Dienste!C77,Regiezeiten!B:E,3,FALSE)</f>
        <v>6.9444444444444475E-3</v>
      </c>
      <c r="L77" s="118">
        <f>VLOOKUP(Dienste!C77,Regiezeiten!B:E,4,FALSE)</f>
        <v>0</v>
      </c>
      <c r="M77" s="1">
        <f t="shared" ref="M77:M133" si="27">L77+K77</f>
        <v>6.9444444444444475E-3</v>
      </c>
      <c r="N77" s="118">
        <f>IF(VLOOKUP(C77,Pause!B:D,3,FALSE)&gt;Datenblatt!$B$12,Datenblatt!$B$12,VLOOKUP(C77,Pause!B:D,3,FALSE))</f>
        <v>6.25E-2</v>
      </c>
      <c r="O77" s="1">
        <f t="shared" si="20"/>
        <v>0.47222222222222221</v>
      </c>
      <c r="P77" s="4">
        <f t="shared" si="21"/>
        <v>11.333333333333332</v>
      </c>
      <c r="Q77" s="5">
        <f t="shared" si="22"/>
        <v>12</v>
      </c>
      <c r="S77" s="1">
        <f>IF(G77&lt;Daten!$T$3,Dienste!G77,0)</f>
        <v>0</v>
      </c>
      <c r="T77" s="1">
        <f>IF(G77&lt;Daten!$T$3,IF(H77&gt;Daten!$T$3,Daten!$T$3,Dienste!H77),0)</f>
        <v>0</v>
      </c>
      <c r="U77" s="1">
        <f>IF(H77*24&gt;Daten!$T$2*24+24, (Daten!$T$2*24+24)/24, 0)</f>
        <v>0</v>
      </c>
      <c r="V77" s="1">
        <f>IF(H77*24&gt;Daten!$T$2*24+24,IF(H77*24&gt;Daten!$T$3*24+24,(Daten!$T$3*24+24)/24,H77),0)</f>
        <v>0</v>
      </c>
      <c r="W77" s="4">
        <f t="shared" ref="W77:W133" si="28">((V77-U77)+(T77-S77))*24</f>
        <v>0</v>
      </c>
    </row>
    <row r="78" spans="1:23">
      <c r="B78" s="46">
        <f t="shared" si="23"/>
        <v>44578</v>
      </c>
      <c r="C78" s="5" t="str">
        <f t="shared" si="24"/>
        <v>44578 Dienst 3</v>
      </c>
      <c r="D78" s="100" t="s">
        <v>210</v>
      </c>
      <c r="E78" s="226"/>
      <c r="F78" s="5" t="str">
        <f t="shared" si="19"/>
        <v>Tour 3</v>
      </c>
      <c r="G78" s="102">
        <v>0.20069444444444443</v>
      </c>
      <c r="H78" s="102">
        <v>0.49791666666666662</v>
      </c>
      <c r="I78" s="1">
        <f t="shared" si="25"/>
        <v>0.29722222222222217</v>
      </c>
      <c r="J78" s="4">
        <f t="shared" si="26"/>
        <v>7.133333333333332</v>
      </c>
      <c r="K78" s="118">
        <f>VLOOKUP(Dienste!C78,Regiezeiten!B:E,3,FALSE)</f>
        <v>6.9444444444444753E-3</v>
      </c>
      <c r="L78" s="118">
        <f>VLOOKUP(Dienste!C78,Regiezeiten!B:E,4,FALSE)</f>
        <v>0</v>
      </c>
      <c r="M78" s="1">
        <f t="shared" si="27"/>
        <v>6.9444444444444753E-3</v>
      </c>
      <c r="N78" s="118">
        <f>IF(VLOOKUP(C78,Pause!B:D,3,FALSE)&gt;Datenblatt!$B$12,Datenblatt!$B$12,VLOOKUP(C78,Pause!B:D,3,FALSE))</f>
        <v>4.7916666666666663E-2</v>
      </c>
      <c r="O78" s="1">
        <f t="shared" si="20"/>
        <v>0.27083333333333331</v>
      </c>
      <c r="P78" s="4">
        <f t="shared" si="21"/>
        <v>6.5</v>
      </c>
      <c r="Q78" s="5">
        <f t="shared" si="22"/>
        <v>7</v>
      </c>
      <c r="S78" s="1">
        <f>IF(G78&lt;Daten!$T$3,Dienste!G78,0)</f>
        <v>0.20069444444444443</v>
      </c>
      <c r="T78" s="1">
        <f>IF(G78&lt;Daten!$T$3,IF(H78&gt;Daten!$T$3,Daten!$T$3,Dienste!H78),0)</f>
        <v>0.20833333333333301</v>
      </c>
      <c r="U78" s="1">
        <f>IF(H78*24&gt;Daten!$T$2*24+24, (Daten!$T$2*24+24)/24, 0)</f>
        <v>0</v>
      </c>
      <c r="V78" s="1">
        <f>IF(H78*24&gt;Daten!$T$2*24+24,IF(H78*24&gt;Daten!$T$3*24+24,(Daten!$T$3*24+24)/24,H78),0)</f>
        <v>0</v>
      </c>
      <c r="W78" s="4">
        <f t="shared" si="28"/>
        <v>0.18333333333332602</v>
      </c>
    </row>
    <row r="79" spans="1:23">
      <c r="B79" s="46">
        <f t="shared" si="23"/>
        <v>44578</v>
      </c>
      <c r="C79" s="5" t="str">
        <f t="shared" si="24"/>
        <v>44578 Dienst 4</v>
      </c>
      <c r="D79" s="100" t="s">
        <v>211</v>
      </c>
      <c r="E79" s="226"/>
      <c r="F79" s="5" t="str">
        <f t="shared" si="19"/>
        <v>Tour 4</v>
      </c>
      <c r="G79" s="102">
        <v>0.1875</v>
      </c>
      <c r="H79" s="102">
        <v>0.74861111111111101</v>
      </c>
      <c r="I79" s="1">
        <f t="shared" si="25"/>
        <v>0.56111111111111101</v>
      </c>
      <c r="J79" s="4">
        <f t="shared" si="26"/>
        <v>13.466666666666665</v>
      </c>
      <c r="K79" s="118">
        <f>VLOOKUP(Dienste!C79,Regiezeiten!B:E,3,FALSE)</f>
        <v>6.9444444444444475E-3</v>
      </c>
      <c r="L79" s="118">
        <f>VLOOKUP(Dienste!C79,Regiezeiten!B:E,4,FALSE)</f>
        <v>0</v>
      </c>
      <c r="M79" s="1">
        <f t="shared" si="27"/>
        <v>6.9444444444444475E-3</v>
      </c>
      <c r="N79" s="118">
        <f>IF(VLOOKUP(C79,Pause!B:D,3,FALSE)&gt;Datenblatt!$B$12,Datenblatt!$B$12,VLOOKUP(C79,Pause!B:D,3,FALSE))</f>
        <v>6.25E-2</v>
      </c>
      <c r="O79" s="1">
        <f t="shared" si="20"/>
        <v>0.49861111111111101</v>
      </c>
      <c r="P79" s="4">
        <f t="shared" si="21"/>
        <v>11.966666666666665</v>
      </c>
      <c r="Q79" s="5">
        <f t="shared" si="22"/>
        <v>12</v>
      </c>
      <c r="S79" s="1">
        <f>IF(G79&lt;Daten!$T$3,Dienste!G79,0)</f>
        <v>0.1875</v>
      </c>
      <c r="T79" s="1">
        <f>IF(G79&lt;Daten!$T$3,IF(H79&gt;Daten!$T$3,Daten!$T$3,Dienste!H79),0)</f>
        <v>0.20833333333333301</v>
      </c>
      <c r="U79" s="1">
        <f>IF(H79*24&gt;Daten!$T$2*24+24, (Daten!$T$2*24+24)/24, 0)</f>
        <v>0</v>
      </c>
      <c r="V79" s="1">
        <f>IF(H79*24&gt;Daten!$T$2*24+24,IF(H79*24&gt;Daten!$T$3*24+24,(Daten!$T$3*24+24)/24,H79),0)</f>
        <v>0</v>
      </c>
      <c r="W79" s="4">
        <f t="shared" si="28"/>
        <v>0.49999999999999223</v>
      </c>
    </row>
    <row r="80" spans="1:23">
      <c r="B80" s="46">
        <f t="shared" si="23"/>
        <v>44578</v>
      </c>
      <c r="C80" s="5" t="str">
        <f t="shared" si="24"/>
        <v>44578 Dienst 5</v>
      </c>
      <c r="D80" s="100" t="s">
        <v>212</v>
      </c>
      <c r="E80" s="226"/>
      <c r="F80" s="5" t="str">
        <f t="shared" si="19"/>
        <v>Tour 5</v>
      </c>
      <c r="G80" s="102">
        <v>0.19999999999999998</v>
      </c>
      <c r="H80" s="102">
        <v>0.60277777777777775</v>
      </c>
      <c r="I80" s="1">
        <f t="shared" si="25"/>
        <v>0.40277777777777779</v>
      </c>
      <c r="J80" s="4">
        <f t="shared" si="26"/>
        <v>9.6666666666666679</v>
      </c>
      <c r="K80" s="118">
        <f>VLOOKUP(Dienste!C80,Regiezeiten!B:E,3,FALSE)</f>
        <v>6.9444444444444753E-3</v>
      </c>
      <c r="L80" s="118">
        <f>VLOOKUP(Dienste!C80,Regiezeiten!B:E,4,FALSE)</f>
        <v>0</v>
      </c>
      <c r="M80" s="1">
        <f t="shared" si="27"/>
        <v>6.9444444444444753E-3</v>
      </c>
      <c r="N80" s="118">
        <f>IF(VLOOKUP(C80,Pause!B:D,3,FALSE)&gt;Datenblatt!$B$12,Datenblatt!$B$12,VLOOKUP(C80,Pause!B:D,3,FALSE))</f>
        <v>4.7222222222222221E-2</v>
      </c>
      <c r="O80" s="1">
        <f t="shared" si="20"/>
        <v>0.35555555555555557</v>
      </c>
      <c r="P80" s="4">
        <f t="shared" si="21"/>
        <v>8.5333333333333332</v>
      </c>
      <c r="Q80" s="5">
        <f t="shared" si="22"/>
        <v>10</v>
      </c>
      <c r="S80" s="1">
        <f>IF(G80&lt;Daten!$T$3,Dienste!G80,0)</f>
        <v>0.19999999999999998</v>
      </c>
      <c r="T80" s="1">
        <f>IF(G80&lt;Daten!$T$3,IF(H80&gt;Daten!$T$3,Daten!$T$3,Dienste!H80),0)</f>
        <v>0.20833333333333301</v>
      </c>
      <c r="U80" s="1">
        <f>IF(H80*24&gt;Daten!$T$2*24+24, (Daten!$T$2*24+24)/24, 0)</f>
        <v>0</v>
      </c>
      <c r="V80" s="1">
        <f>IF(H80*24&gt;Daten!$T$2*24+24,IF(H80*24&gt;Daten!$T$3*24+24,(Daten!$T$3*24+24)/24,H80),0)</f>
        <v>0</v>
      </c>
      <c r="W80" s="4">
        <f t="shared" si="28"/>
        <v>0.19999999999999263</v>
      </c>
    </row>
    <row r="81" spans="1:23">
      <c r="B81" s="46">
        <f t="shared" si="23"/>
        <v>44578</v>
      </c>
      <c r="C81" s="5" t="str">
        <f t="shared" si="24"/>
        <v>44578 Dienst 6</v>
      </c>
      <c r="D81" s="100" t="s">
        <v>213</v>
      </c>
      <c r="E81" s="226"/>
      <c r="F81" s="5" t="str">
        <f t="shared" si="19"/>
        <v>Tour 6</v>
      </c>
      <c r="G81" s="102">
        <v>0.20347222222222219</v>
      </c>
      <c r="H81" s="102">
        <v>0.51874999999999993</v>
      </c>
      <c r="I81" s="1">
        <f t="shared" si="25"/>
        <v>0.31527777777777777</v>
      </c>
      <c r="J81" s="4">
        <f t="shared" si="26"/>
        <v>7.5666666666666664</v>
      </c>
      <c r="K81" s="118">
        <f>VLOOKUP(Dienste!C81,Regiezeiten!B:E,3,FALSE)</f>
        <v>6.9444444444444753E-3</v>
      </c>
      <c r="L81" s="118">
        <f>VLOOKUP(Dienste!C81,Regiezeiten!B:E,4,FALSE)</f>
        <v>0</v>
      </c>
      <c r="M81" s="1">
        <f t="shared" si="27"/>
        <v>6.9444444444444753E-3</v>
      </c>
      <c r="N81" s="118">
        <f>IF(VLOOKUP(C81,Pause!B:D,3,FALSE)&gt;Datenblatt!$B$12,Datenblatt!$B$12,VLOOKUP(C81,Pause!B:D,3,FALSE))</f>
        <v>6.25E-2</v>
      </c>
      <c r="O81" s="1">
        <f t="shared" si="20"/>
        <v>0.27083333333333331</v>
      </c>
      <c r="P81" s="4">
        <f t="shared" si="21"/>
        <v>6.5</v>
      </c>
      <c r="Q81" s="5">
        <f t="shared" si="22"/>
        <v>8</v>
      </c>
      <c r="S81" s="1">
        <f>IF(G81&lt;Daten!$T$3,Dienste!G81,0)</f>
        <v>0.20347222222222219</v>
      </c>
      <c r="T81" s="1">
        <f>IF(G81&lt;Daten!$T$3,IF(H81&gt;Daten!$T$3,Daten!$T$3,Dienste!H81),0)</f>
        <v>0.20833333333333301</v>
      </c>
      <c r="U81" s="1">
        <f>IF(H81*24&gt;Daten!$T$2*24+24, (Daten!$T$2*24+24)/24, 0)</f>
        <v>0</v>
      </c>
      <c r="V81" s="1">
        <f>IF(H81*24&gt;Daten!$T$2*24+24,IF(H81*24&gt;Daten!$T$3*24+24,(Daten!$T$3*24+24)/24,H81),0)</f>
        <v>0</v>
      </c>
      <c r="W81" s="4">
        <f t="shared" si="28"/>
        <v>0.11666666666665959</v>
      </c>
    </row>
    <row r="82" spans="1:23">
      <c r="B82" s="46">
        <f t="shared" si="23"/>
        <v>44578</v>
      </c>
      <c r="C82" s="5" t="str">
        <f t="shared" si="24"/>
        <v>44578 Dienst 7</v>
      </c>
      <c r="D82" s="100" t="s">
        <v>214</v>
      </c>
      <c r="E82" s="226"/>
      <c r="F82" s="5" t="str">
        <f t="shared" si="19"/>
        <v>Tour 7</v>
      </c>
      <c r="G82" s="102">
        <v>0.19444444444444445</v>
      </c>
      <c r="H82" s="102">
        <v>0.51944444444444449</v>
      </c>
      <c r="I82" s="1">
        <f t="shared" si="25"/>
        <v>0.32500000000000007</v>
      </c>
      <c r="J82" s="4">
        <f t="shared" si="26"/>
        <v>7.8000000000000016</v>
      </c>
      <c r="K82" s="118">
        <f>VLOOKUP(Dienste!C82,Regiezeiten!B:E,3,FALSE)</f>
        <v>6.9444444444444198E-3</v>
      </c>
      <c r="L82" s="118">
        <f>VLOOKUP(Dienste!C82,Regiezeiten!B:E,4,FALSE)</f>
        <v>0</v>
      </c>
      <c r="M82" s="1">
        <f t="shared" si="27"/>
        <v>6.9444444444444198E-3</v>
      </c>
      <c r="N82" s="118">
        <f>IF(VLOOKUP(C82,Pause!B:D,3,FALSE)&gt;Datenblatt!$B$12,Datenblatt!$B$12,VLOOKUP(C82,Pause!B:D,3,FALSE))</f>
        <v>4.5138888888888895E-2</v>
      </c>
      <c r="O82" s="1">
        <f t="shared" si="20"/>
        <v>0.27986111111111117</v>
      </c>
      <c r="P82" s="4">
        <f t="shared" si="21"/>
        <v>6.7166666666666686</v>
      </c>
      <c r="Q82" s="5">
        <f t="shared" si="22"/>
        <v>8</v>
      </c>
      <c r="S82" s="1">
        <f>IF(G82&lt;Daten!$T$3,Dienste!G82,0)</f>
        <v>0.19444444444444445</v>
      </c>
      <c r="T82" s="1">
        <f>IF(G82&lt;Daten!$T$3,IF(H82&gt;Daten!$T$3,Daten!$T$3,Dienste!H82),0)</f>
        <v>0.20833333333333301</v>
      </c>
      <c r="U82" s="1">
        <f>IF(H82*24&gt;Daten!$T$2*24+24, (Daten!$T$2*24+24)/24, 0)</f>
        <v>0</v>
      </c>
      <c r="V82" s="1">
        <f>IF(H82*24&gt;Daten!$T$2*24+24,IF(H82*24&gt;Daten!$T$3*24+24,(Daten!$T$3*24+24)/24,H82),0)</f>
        <v>0</v>
      </c>
      <c r="W82" s="4">
        <f t="shared" si="28"/>
        <v>0.33333333333332549</v>
      </c>
    </row>
    <row r="83" spans="1:23">
      <c r="B83" s="46">
        <f t="shared" si="23"/>
        <v>44578</v>
      </c>
      <c r="C83" s="5" t="str">
        <f t="shared" si="24"/>
        <v>44578 Dienst 8</v>
      </c>
      <c r="D83" s="100" t="s">
        <v>215</v>
      </c>
      <c r="E83" s="226"/>
      <c r="F83" s="5" t="str">
        <f t="shared" si="19"/>
        <v>Tour 8</v>
      </c>
      <c r="G83" s="102">
        <v>0.20555555555555557</v>
      </c>
      <c r="H83" s="102">
        <v>0.74444444444444446</v>
      </c>
      <c r="I83" s="1">
        <f t="shared" si="25"/>
        <v>0.53888888888888886</v>
      </c>
      <c r="J83" s="4">
        <f t="shared" si="26"/>
        <v>12.933333333333334</v>
      </c>
      <c r="K83" s="118">
        <f>VLOOKUP(Dienste!C83,Regiezeiten!B:E,3,FALSE)</f>
        <v>6.9444444444444198E-3</v>
      </c>
      <c r="L83" s="118">
        <f>VLOOKUP(Dienste!C83,Regiezeiten!B:E,4,FALSE)</f>
        <v>0</v>
      </c>
      <c r="M83" s="1">
        <f t="shared" si="27"/>
        <v>6.9444444444444198E-3</v>
      </c>
      <c r="N83" s="118">
        <f>IF(VLOOKUP(C83,Pause!B:D,3,FALSE)&gt;Datenblatt!$B$12,Datenblatt!$B$12,VLOOKUP(C83,Pause!B:D,3,FALSE))</f>
        <v>6.25E-2</v>
      </c>
      <c r="O83" s="1">
        <f t="shared" si="20"/>
        <v>0.47638888888888886</v>
      </c>
      <c r="P83" s="4">
        <f t="shared" si="21"/>
        <v>11.433333333333334</v>
      </c>
      <c r="Q83" s="5">
        <f t="shared" si="22"/>
        <v>12</v>
      </c>
      <c r="S83" s="1">
        <f>IF(G83&lt;Daten!$T$3,Dienste!G83,0)</f>
        <v>0.20555555555555557</v>
      </c>
      <c r="T83" s="1">
        <f>IF(G83&lt;Daten!$T$3,IF(H83&gt;Daten!$T$3,Daten!$T$3,Dienste!H83),0)</f>
        <v>0.20833333333333301</v>
      </c>
      <c r="U83" s="1">
        <f>IF(H83*24&gt;Daten!$T$2*24+24, (Daten!$T$2*24+24)/24, 0)</f>
        <v>0</v>
      </c>
      <c r="V83" s="1">
        <f>IF(H83*24&gt;Daten!$T$2*24+24,IF(H83*24&gt;Daten!$T$3*24+24,(Daten!$T$3*24+24)/24,H83),0)</f>
        <v>0</v>
      </c>
      <c r="W83" s="4">
        <f t="shared" si="28"/>
        <v>6.6666666666658436E-2</v>
      </c>
    </row>
    <row r="84" spans="1:23">
      <c r="B84" s="46">
        <f t="shared" si="23"/>
        <v>44578</v>
      </c>
      <c r="C84" s="5" t="str">
        <f t="shared" si="24"/>
        <v>44578 Dienst 9</v>
      </c>
      <c r="D84" s="100" t="s">
        <v>216</v>
      </c>
      <c r="E84" s="226"/>
      <c r="F84" s="5" t="str">
        <f t="shared" si="19"/>
        <v>Tour 9</v>
      </c>
      <c r="G84" s="102">
        <v>0.1986111111111111</v>
      </c>
      <c r="H84" s="102">
        <v>0.56111111111111112</v>
      </c>
      <c r="I84" s="1">
        <f t="shared" si="25"/>
        <v>0.36250000000000004</v>
      </c>
      <c r="J84" s="4">
        <f t="shared" si="26"/>
        <v>8.7000000000000011</v>
      </c>
      <c r="K84" s="118">
        <f>VLOOKUP(Dienste!C84,Regiezeiten!B:E,3,FALSE)</f>
        <v>6.9444444444444753E-3</v>
      </c>
      <c r="L84" s="118">
        <f>VLOOKUP(Dienste!C84,Regiezeiten!B:E,4,FALSE)</f>
        <v>0</v>
      </c>
      <c r="M84" s="1">
        <f t="shared" si="27"/>
        <v>6.9444444444444753E-3</v>
      </c>
      <c r="N84" s="118">
        <f>IF(VLOOKUP(C84,Pause!B:D,3,FALSE)&gt;Datenblatt!$B$12,Datenblatt!$B$12,VLOOKUP(C84,Pause!B:D,3,FALSE))</f>
        <v>5.1388888888888928E-2</v>
      </c>
      <c r="O84" s="1">
        <f t="shared" si="20"/>
        <v>0.31111111111111112</v>
      </c>
      <c r="P84" s="4">
        <f t="shared" si="21"/>
        <v>7.4666666666666668</v>
      </c>
      <c r="Q84" s="5">
        <f t="shared" si="22"/>
        <v>9</v>
      </c>
      <c r="S84" s="1">
        <f>IF(G84&lt;Daten!$T$3,Dienste!G84,0)</f>
        <v>0.1986111111111111</v>
      </c>
      <c r="T84" s="1">
        <f>IF(G84&lt;Daten!$T$3,IF(H84&gt;Daten!$T$3,Daten!$T$3,Dienste!H84),0)</f>
        <v>0.20833333333333301</v>
      </c>
      <c r="U84" s="1">
        <f>IF(H84*24&gt;Daten!$T$2*24+24, (Daten!$T$2*24+24)/24, 0)</f>
        <v>0</v>
      </c>
      <c r="V84" s="1">
        <f>IF(H84*24&gt;Daten!$T$2*24+24,IF(H84*24&gt;Daten!$T$3*24+24,(Daten!$T$3*24+24)/24,H84),0)</f>
        <v>0</v>
      </c>
      <c r="W84" s="4">
        <f t="shared" si="28"/>
        <v>0.23333333333332584</v>
      </c>
    </row>
    <row r="85" spans="1:23">
      <c r="B85" s="46">
        <f t="shared" si="23"/>
        <v>44578</v>
      </c>
      <c r="C85" s="5" t="str">
        <f t="shared" si="24"/>
        <v>44578 Dienst 10</v>
      </c>
      <c r="D85" s="100" t="s">
        <v>217</v>
      </c>
      <c r="E85" s="226"/>
      <c r="F85" s="5" t="str">
        <f t="shared" si="19"/>
        <v>Tour 10</v>
      </c>
      <c r="G85" s="102">
        <v>0.18472222222222223</v>
      </c>
      <c r="H85" s="102">
        <v>0.7909722222222223</v>
      </c>
      <c r="I85" s="1">
        <f t="shared" si="25"/>
        <v>0.60625000000000007</v>
      </c>
      <c r="J85" s="4">
        <f t="shared" si="26"/>
        <v>14.55</v>
      </c>
      <c r="K85" s="118">
        <f>VLOOKUP(Dienste!C85,Regiezeiten!B:E,3,FALSE)</f>
        <v>6.9444444444444198E-3</v>
      </c>
      <c r="L85" s="118">
        <f>VLOOKUP(Dienste!C85,Regiezeiten!B:E,4,FALSE)</f>
        <v>0</v>
      </c>
      <c r="M85" s="1">
        <f t="shared" si="27"/>
        <v>6.9444444444444198E-3</v>
      </c>
      <c r="N85" s="118">
        <f>IF(VLOOKUP(C85,Pause!B:D,3,FALSE)&gt;Datenblatt!$B$12,Datenblatt!$B$12,VLOOKUP(C85,Pause!B:D,3,FALSE))</f>
        <v>6.25E-2</v>
      </c>
      <c r="O85" s="1">
        <f t="shared" si="20"/>
        <v>0.54375000000000007</v>
      </c>
      <c r="P85" s="4">
        <f t="shared" si="21"/>
        <v>13.05</v>
      </c>
      <c r="Q85" s="5">
        <f t="shared" si="22"/>
        <v>12</v>
      </c>
      <c r="S85" s="1">
        <f>IF(G85&lt;Daten!$T$3,Dienste!G85,0)</f>
        <v>0.18472222222222223</v>
      </c>
      <c r="T85" s="1">
        <f>IF(G85&lt;Daten!$T$3,IF(H85&gt;Daten!$T$3,Daten!$T$3,Dienste!H85),0)</f>
        <v>0.20833333333333301</v>
      </c>
      <c r="U85" s="1">
        <f>IF(H85*24&gt;Daten!$T$2*24+24, (Daten!$T$2*24+24)/24, 0)</f>
        <v>0</v>
      </c>
      <c r="V85" s="1">
        <f>IF(H85*24&gt;Daten!$T$2*24+24,IF(H85*24&gt;Daten!$T$3*24+24,(Daten!$T$3*24+24)/24,H85),0)</f>
        <v>0</v>
      </c>
      <c r="W85" s="4">
        <f t="shared" si="28"/>
        <v>0.56666666666665866</v>
      </c>
    </row>
    <row r="86" spans="1:23">
      <c r="B86" s="46">
        <f t="shared" si="23"/>
        <v>44578</v>
      </c>
      <c r="C86" s="5" t="str">
        <f t="shared" si="24"/>
        <v>44578 Dienst 11</v>
      </c>
      <c r="D86" s="100" t="s">
        <v>218</v>
      </c>
      <c r="E86" s="226"/>
      <c r="F86" s="5" t="str">
        <f t="shared" si="19"/>
        <v>Tour 11</v>
      </c>
      <c r="G86" s="102">
        <v>0.20555555555555557</v>
      </c>
      <c r="H86" s="102">
        <v>0.78888888888888886</v>
      </c>
      <c r="I86" s="1">
        <f t="shared" si="25"/>
        <v>0.58333333333333326</v>
      </c>
      <c r="J86" s="4">
        <f t="shared" si="26"/>
        <v>13.999999999999998</v>
      </c>
      <c r="K86" s="118">
        <f>VLOOKUP(Dienste!C86,Regiezeiten!B:E,3,FALSE)</f>
        <v>6.9444444444444198E-3</v>
      </c>
      <c r="L86" s="118">
        <f>VLOOKUP(Dienste!C86,Regiezeiten!B:E,4,FALSE)</f>
        <v>0</v>
      </c>
      <c r="M86" s="1">
        <f t="shared" si="27"/>
        <v>6.9444444444444198E-3</v>
      </c>
      <c r="N86" s="118">
        <f>IF(VLOOKUP(C86,Pause!B:D,3,FALSE)&gt;Datenblatt!$B$12,Datenblatt!$B$12,VLOOKUP(C86,Pause!B:D,3,FALSE))</f>
        <v>6.25E-2</v>
      </c>
      <c r="O86" s="1">
        <f t="shared" si="20"/>
        <v>0.52083333333333326</v>
      </c>
      <c r="P86" s="4">
        <f t="shared" si="21"/>
        <v>12.499999999999998</v>
      </c>
      <c r="Q86" s="5">
        <f t="shared" si="22"/>
        <v>12</v>
      </c>
      <c r="S86" s="1">
        <f>IF(G86&lt;Daten!$T$3,Dienste!G86,0)</f>
        <v>0.20555555555555557</v>
      </c>
      <c r="T86" s="1">
        <f>IF(G86&lt;Daten!$T$3,IF(H86&gt;Daten!$T$3,Daten!$T$3,Dienste!H86),0)</f>
        <v>0.20833333333333301</v>
      </c>
      <c r="U86" s="1">
        <f>IF(H86*24&gt;Daten!$T$2*24+24, (Daten!$T$2*24+24)/24, 0)</f>
        <v>0</v>
      </c>
      <c r="V86" s="1">
        <f>IF(H86*24&gt;Daten!$T$2*24+24,IF(H86*24&gt;Daten!$T$3*24+24,(Daten!$T$3*24+24)/24,H86),0)</f>
        <v>0</v>
      </c>
      <c r="W86" s="4">
        <f t="shared" si="28"/>
        <v>6.6666666666658436E-2</v>
      </c>
    </row>
    <row r="87" spans="1:23">
      <c r="B87" s="46">
        <f t="shared" si="23"/>
        <v>44578</v>
      </c>
      <c r="C87" s="5" t="str">
        <f t="shared" si="24"/>
        <v>44578 Dienst 12</v>
      </c>
      <c r="D87" s="100" t="s">
        <v>219</v>
      </c>
      <c r="E87" s="226"/>
      <c r="F87" s="5" t="str">
        <f t="shared" si="19"/>
        <v>Tour 12</v>
      </c>
      <c r="G87" s="102">
        <v>0.20555555555555557</v>
      </c>
      <c r="H87" s="102">
        <v>0.6430555555555556</v>
      </c>
      <c r="I87" s="1">
        <f t="shared" si="25"/>
        <v>0.4375</v>
      </c>
      <c r="J87" s="4">
        <f t="shared" si="26"/>
        <v>10.5</v>
      </c>
      <c r="K87" s="118">
        <f>VLOOKUP(Dienste!C87,Regiezeiten!B:E,3,FALSE)</f>
        <v>6.9444444444444198E-3</v>
      </c>
      <c r="L87" s="118">
        <f>VLOOKUP(Dienste!C87,Regiezeiten!B:E,4,FALSE)</f>
        <v>0</v>
      </c>
      <c r="M87" s="1">
        <f t="shared" si="27"/>
        <v>6.9444444444444198E-3</v>
      </c>
      <c r="N87" s="118">
        <f>IF(VLOOKUP(C87,Pause!B:D,3,FALSE)&gt;Datenblatt!$B$12,Datenblatt!$B$12,VLOOKUP(C87,Pause!B:D,3,FALSE))</f>
        <v>4.4444444444444453E-2</v>
      </c>
      <c r="O87" s="1">
        <f t="shared" si="20"/>
        <v>0.39305555555555555</v>
      </c>
      <c r="P87" s="4">
        <f t="shared" si="21"/>
        <v>9.4333333333333336</v>
      </c>
      <c r="Q87" s="5">
        <f t="shared" si="22"/>
        <v>11</v>
      </c>
      <c r="S87" s="1">
        <f>IF(G87&lt;Daten!$T$3,Dienste!G87,0)</f>
        <v>0.20555555555555557</v>
      </c>
      <c r="T87" s="1">
        <f>IF(G87&lt;Daten!$T$3,IF(H87&gt;Daten!$T$3,Daten!$T$3,Dienste!H87),0)</f>
        <v>0.20833333333333301</v>
      </c>
      <c r="U87" s="1">
        <f>IF(H87*24&gt;Daten!$T$2*24+24, (Daten!$T$2*24+24)/24, 0)</f>
        <v>0</v>
      </c>
      <c r="V87" s="1">
        <f>IF(H87*24&gt;Daten!$T$2*24+24,IF(H87*24&gt;Daten!$T$3*24+24,(Daten!$T$3*24+24)/24,H87),0)</f>
        <v>0</v>
      </c>
      <c r="W87" s="4">
        <f t="shared" si="28"/>
        <v>6.6666666666658436E-2</v>
      </c>
    </row>
    <row r="88" spans="1:23">
      <c r="A88" s="106"/>
      <c r="B88" s="46">
        <f t="shared" si="23"/>
        <v>44578</v>
      </c>
      <c r="C88" s="5" t="str">
        <f t="shared" si="24"/>
        <v>44578 Dienst 13</v>
      </c>
      <c r="D88" s="100" t="s">
        <v>220</v>
      </c>
      <c r="E88" s="226"/>
      <c r="F88" s="5" t="str">
        <f t="shared" si="19"/>
        <v>Tour 13</v>
      </c>
      <c r="G88" s="102">
        <v>0.22638888888888889</v>
      </c>
      <c r="H88" s="102">
        <v>0.74791666666666667</v>
      </c>
      <c r="I88" s="1">
        <f t="shared" si="25"/>
        <v>0.52152777777777781</v>
      </c>
      <c r="J88" s="4">
        <f t="shared" si="26"/>
        <v>12.516666666666667</v>
      </c>
      <c r="K88" s="118">
        <f>VLOOKUP(Dienste!C88,Regiezeiten!B:E,3,FALSE)</f>
        <v>6.9444444444444198E-3</v>
      </c>
      <c r="L88" s="118">
        <f>VLOOKUP(Dienste!C88,Regiezeiten!B:E,4,FALSE)</f>
        <v>0</v>
      </c>
      <c r="M88" s="1">
        <f t="shared" si="27"/>
        <v>6.9444444444444198E-3</v>
      </c>
      <c r="N88" s="118">
        <f>IF(VLOOKUP(C88,Pause!B:D,3,FALSE)&gt;Datenblatt!$B$12,Datenblatt!$B$12,VLOOKUP(C88,Pause!B:D,3,FALSE))</f>
        <v>6.25E-2</v>
      </c>
      <c r="O88" s="1">
        <f t="shared" si="20"/>
        <v>0.45902777777777781</v>
      </c>
      <c r="P88" s="4">
        <f t="shared" si="21"/>
        <v>11.016666666666667</v>
      </c>
      <c r="Q88" s="5">
        <f t="shared" si="22"/>
        <v>12</v>
      </c>
      <c r="S88" s="1">
        <f>IF(G88&lt;Daten!$T$3,Dienste!G88,0)</f>
        <v>0</v>
      </c>
      <c r="T88" s="1">
        <f>IF(G88&lt;Daten!$T$3,IF(H88&gt;Daten!$T$3,Daten!$T$3,Dienste!H88),0)</f>
        <v>0</v>
      </c>
      <c r="U88" s="1">
        <f>IF(H88*24&gt;Daten!$T$2*24+24, (Daten!$T$2*24+24)/24, 0)</f>
        <v>0</v>
      </c>
      <c r="V88" s="1">
        <f>IF(H88*24&gt;Daten!$T$2*24+24,IF(H88*24&gt;Daten!$T$3*24+24,(Daten!$T$3*24+24)/24,H88),0)</f>
        <v>0</v>
      </c>
      <c r="W88" s="4">
        <f t="shared" si="28"/>
        <v>0</v>
      </c>
    </row>
    <row r="89" spans="1:23">
      <c r="B89" s="46">
        <f t="shared" si="23"/>
        <v>44578</v>
      </c>
      <c r="C89" s="5" t="str">
        <f t="shared" si="24"/>
        <v>44578 Dienst 14</v>
      </c>
      <c r="D89" s="100" t="s">
        <v>221</v>
      </c>
      <c r="E89" s="226"/>
      <c r="F89" s="5" t="str">
        <f t="shared" si="19"/>
        <v>Tour 14</v>
      </c>
      <c r="G89" s="102">
        <v>0.60416666666666663</v>
      </c>
      <c r="H89" s="102">
        <v>0.96805555555555556</v>
      </c>
      <c r="I89" s="1">
        <f t="shared" si="25"/>
        <v>0.36388888888888893</v>
      </c>
      <c r="J89" s="4">
        <f t="shared" si="26"/>
        <v>8.7333333333333343</v>
      </c>
      <c r="K89" s="118">
        <f>VLOOKUP(Dienste!C89,Regiezeiten!B:E,3,FALSE)</f>
        <v>0</v>
      </c>
      <c r="L89" s="118">
        <f>VLOOKUP(Dienste!C89,Regiezeiten!B:E,4,FALSE)</f>
        <v>1.041666666666663E-2</v>
      </c>
      <c r="M89" s="1">
        <f t="shared" si="27"/>
        <v>1.041666666666663E-2</v>
      </c>
      <c r="N89" s="118">
        <f>IF(VLOOKUP(C89,Pause!B:D,3,FALSE)&gt;Datenblatt!$B$12,Datenblatt!$B$12,VLOOKUP(C89,Pause!B:D,3,FALSE))</f>
        <v>4.3055555555555625E-2</v>
      </c>
      <c r="O89" s="1">
        <f t="shared" si="20"/>
        <v>0.3208333333333333</v>
      </c>
      <c r="P89" s="4">
        <f t="shared" si="21"/>
        <v>7.6999999999999993</v>
      </c>
      <c r="Q89" s="5">
        <f t="shared" si="22"/>
        <v>9</v>
      </c>
      <c r="S89" s="1">
        <f>IF(G89&lt;Daten!$T$3,Dienste!G89,0)</f>
        <v>0</v>
      </c>
      <c r="T89" s="1">
        <f>IF(G89&lt;Daten!$T$3,IF(H89&gt;Daten!$T$3,Daten!$T$3,Dienste!H89),0)</f>
        <v>0</v>
      </c>
      <c r="U89" s="1">
        <f>IF(H89*24&gt;Daten!$T$2*24+24, (Daten!$T$2*24+24)/24, 0)</f>
        <v>0</v>
      </c>
      <c r="V89" s="1">
        <f>IF(H89*24&gt;Daten!$T$2*24+24,IF(H89*24&gt;Daten!$T$3*24+24,(Daten!$T$3*24+24)/24,H89),0)</f>
        <v>0</v>
      </c>
      <c r="W89" s="4">
        <f t="shared" si="28"/>
        <v>0</v>
      </c>
    </row>
    <row r="90" spans="1:23">
      <c r="B90" s="46">
        <f t="shared" si="23"/>
        <v>44578</v>
      </c>
      <c r="C90" s="5" t="str">
        <f t="shared" si="24"/>
        <v>44578 Dienst 15</v>
      </c>
      <c r="D90" s="100" t="s">
        <v>222</v>
      </c>
      <c r="E90" s="226"/>
      <c r="F90" s="5" t="str">
        <f t="shared" si="19"/>
        <v>Tour 15</v>
      </c>
      <c r="G90" s="102">
        <v>0.39097222222222222</v>
      </c>
      <c r="H90" s="102">
        <v>0.9291666666666667</v>
      </c>
      <c r="I90" s="1">
        <f t="shared" si="25"/>
        <v>0.53819444444444442</v>
      </c>
      <c r="J90" s="4">
        <f t="shared" si="26"/>
        <v>12.916666666666666</v>
      </c>
      <c r="K90" s="118">
        <f>VLOOKUP(Dienste!C90,Regiezeiten!B:E,3,FALSE)</f>
        <v>0</v>
      </c>
      <c r="L90" s="118">
        <f>VLOOKUP(Dienste!C90,Regiezeiten!B:E,4,FALSE)</f>
        <v>1.041666666666663E-2</v>
      </c>
      <c r="M90" s="1">
        <f t="shared" si="27"/>
        <v>1.041666666666663E-2</v>
      </c>
      <c r="N90" s="118">
        <f>IF(VLOOKUP(C90,Pause!B:D,3,FALSE)&gt;Datenblatt!$B$12,Datenblatt!$B$12,VLOOKUP(C90,Pause!B:D,3,FALSE))</f>
        <v>6.25E-2</v>
      </c>
      <c r="O90" s="1">
        <f t="shared" si="20"/>
        <v>0.47569444444444442</v>
      </c>
      <c r="P90" s="4">
        <f t="shared" si="21"/>
        <v>11.416666666666666</v>
      </c>
      <c r="Q90" s="5">
        <f t="shared" si="22"/>
        <v>12</v>
      </c>
      <c r="S90" s="1">
        <f>IF(G90&lt;Daten!$T$3,Dienste!G90,0)</f>
        <v>0</v>
      </c>
      <c r="T90" s="1">
        <f>IF(G90&lt;Daten!$T$3,IF(H90&gt;Daten!$T$3,Daten!$T$3,Dienste!H90),0)</f>
        <v>0</v>
      </c>
      <c r="U90" s="1">
        <f>IF(H90*24&gt;Daten!$T$2*24+24, (Daten!$T$2*24+24)/24, 0)</f>
        <v>0</v>
      </c>
      <c r="V90" s="1">
        <f>IF(H90*24&gt;Daten!$T$2*24+24,IF(H90*24&gt;Daten!$T$3*24+24,(Daten!$T$3*24+24)/24,H90),0)</f>
        <v>0</v>
      </c>
      <c r="W90" s="4">
        <f t="shared" si="28"/>
        <v>0</v>
      </c>
    </row>
    <row r="91" spans="1:23">
      <c r="B91" s="46">
        <f t="shared" si="23"/>
        <v>44578</v>
      </c>
      <c r="C91" s="5" t="str">
        <f t="shared" si="24"/>
        <v>44578 Dienst 16</v>
      </c>
      <c r="D91" s="100" t="s">
        <v>223</v>
      </c>
      <c r="E91" s="226"/>
      <c r="F91" s="5" t="str">
        <f t="shared" si="19"/>
        <v>Tour 16</v>
      </c>
      <c r="G91" s="102">
        <v>0.37916666666666665</v>
      </c>
      <c r="H91" s="102">
        <v>0.95000000000000007</v>
      </c>
      <c r="I91" s="1">
        <f t="shared" si="25"/>
        <v>0.57083333333333341</v>
      </c>
      <c r="J91" s="4">
        <f t="shared" si="26"/>
        <v>13.700000000000003</v>
      </c>
      <c r="K91" s="118">
        <f>VLOOKUP(Dienste!C91,Regiezeiten!B:E,3,FALSE)</f>
        <v>0</v>
      </c>
      <c r="L91" s="118">
        <f>VLOOKUP(Dienste!C91,Regiezeiten!B:E,4,FALSE)</f>
        <v>1.0416666666666741E-2</v>
      </c>
      <c r="M91" s="1">
        <f t="shared" si="27"/>
        <v>1.0416666666666741E-2</v>
      </c>
      <c r="N91" s="118">
        <f>IF(VLOOKUP(C91,Pause!B:D,3,FALSE)&gt;Datenblatt!$B$12,Datenblatt!$B$12,VLOOKUP(C91,Pause!B:D,3,FALSE))</f>
        <v>6.25E-2</v>
      </c>
      <c r="O91" s="1">
        <f t="shared" si="20"/>
        <v>0.50833333333333341</v>
      </c>
      <c r="P91" s="4">
        <f t="shared" si="21"/>
        <v>12.200000000000003</v>
      </c>
      <c r="Q91" s="5">
        <f t="shared" si="22"/>
        <v>12</v>
      </c>
      <c r="S91" s="1">
        <f>IF(G91&lt;Daten!$T$3,Dienste!G91,0)</f>
        <v>0</v>
      </c>
      <c r="T91" s="1">
        <f>IF(G91&lt;Daten!$T$3,IF(H91&gt;Daten!$T$3,Daten!$T$3,Dienste!H91),0)</f>
        <v>0</v>
      </c>
      <c r="U91" s="1">
        <f>IF(H91*24&gt;Daten!$T$2*24+24, (Daten!$T$2*24+24)/24, 0)</f>
        <v>0</v>
      </c>
      <c r="V91" s="1">
        <f>IF(H91*24&gt;Daten!$T$2*24+24,IF(H91*24&gt;Daten!$T$3*24+24,(Daten!$T$3*24+24)/24,H91),0)</f>
        <v>0</v>
      </c>
      <c r="W91" s="4">
        <f t="shared" si="28"/>
        <v>0</v>
      </c>
    </row>
    <row r="92" spans="1:23">
      <c r="B92" s="46">
        <f t="shared" si="23"/>
        <v>44578</v>
      </c>
      <c r="C92" s="5" t="str">
        <f t="shared" si="24"/>
        <v>44578 Dienst 17</v>
      </c>
      <c r="D92" s="100" t="s">
        <v>224</v>
      </c>
      <c r="E92" s="226"/>
      <c r="F92" s="5" t="str">
        <f t="shared" si="19"/>
        <v>Tour 17</v>
      </c>
      <c r="G92" s="102">
        <v>0.33194444444444443</v>
      </c>
      <c r="H92" s="102">
        <v>0.83124999999999993</v>
      </c>
      <c r="I92" s="1">
        <f t="shared" si="25"/>
        <v>0.4993055555555555</v>
      </c>
      <c r="J92" s="4">
        <f t="shared" si="26"/>
        <v>11.983333333333333</v>
      </c>
      <c r="K92" s="118">
        <f>VLOOKUP(Dienste!C92,Regiezeiten!B:E,3,FALSE)</f>
        <v>0</v>
      </c>
      <c r="L92" s="118">
        <f>VLOOKUP(Dienste!C92,Regiezeiten!B:E,4,FALSE)</f>
        <v>0</v>
      </c>
      <c r="M92" s="1">
        <f t="shared" si="27"/>
        <v>0</v>
      </c>
      <c r="N92" s="118">
        <f>IF(VLOOKUP(C92,Pause!B:D,3,FALSE)&gt;Datenblatt!$B$12,Datenblatt!$B$12,VLOOKUP(C92,Pause!B:D,3,FALSE))</f>
        <v>6.25E-2</v>
      </c>
      <c r="O92" s="1">
        <f t="shared" si="20"/>
        <v>0.4368055555555555</v>
      </c>
      <c r="P92" s="4">
        <f t="shared" si="21"/>
        <v>10.483333333333333</v>
      </c>
      <c r="Q92" s="5">
        <f t="shared" si="22"/>
        <v>12</v>
      </c>
      <c r="S92" s="1">
        <f>IF(G92&lt;Daten!$T$3,Dienste!G92,0)</f>
        <v>0</v>
      </c>
      <c r="T92" s="1">
        <f>IF(G92&lt;Daten!$T$3,IF(H92&gt;Daten!$T$3,Daten!$T$3,Dienste!H92),0)</f>
        <v>0</v>
      </c>
      <c r="U92" s="1">
        <f>IF(H92*24&gt;Daten!$T$2*24+24, (Daten!$T$2*24+24)/24, 0)</f>
        <v>0</v>
      </c>
      <c r="V92" s="1">
        <f>IF(H92*24&gt;Daten!$T$2*24+24,IF(H92*24&gt;Daten!$T$3*24+24,(Daten!$T$3*24+24)/24,H92),0)</f>
        <v>0</v>
      </c>
      <c r="W92" s="4">
        <f t="shared" si="28"/>
        <v>0</v>
      </c>
    </row>
    <row r="93" spans="1:23">
      <c r="B93" s="46">
        <f t="shared" si="23"/>
        <v>44578</v>
      </c>
      <c r="C93" s="5" t="str">
        <f t="shared" si="24"/>
        <v>44578 Dienst 18</v>
      </c>
      <c r="D93" s="100" t="s">
        <v>225</v>
      </c>
      <c r="E93" s="226"/>
      <c r="F93" s="5" t="str">
        <f t="shared" si="19"/>
        <v>Tour 18</v>
      </c>
      <c r="G93" s="102">
        <v>0.51944444444444449</v>
      </c>
      <c r="H93" s="102">
        <v>0.92361111111111116</v>
      </c>
      <c r="I93" s="1">
        <f t="shared" si="25"/>
        <v>0.40416666666666667</v>
      </c>
      <c r="J93" s="4">
        <f t="shared" si="26"/>
        <v>9.6999999999999993</v>
      </c>
      <c r="K93" s="118">
        <f>VLOOKUP(Dienste!C93,Regiezeiten!B:E,3,FALSE)</f>
        <v>0</v>
      </c>
      <c r="L93" s="118">
        <f>VLOOKUP(Dienste!C93,Regiezeiten!B:E,4,FALSE)</f>
        <v>1.041666666666663E-2</v>
      </c>
      <c r="M93" s="1">
        <f t="shared" si="27"/>
        <v>1.041666666666663E-2</v>
      </c>
      <c r="N93" s="118">
        <f>IF(VLOOKUP(C93,Pause!B:D,3,FALSE)&gt;Datenblatt!$B$12,Datenblatt!$B$12,VLOOKUP(C93,Pause!B:D,3,FALSE))</f>
        <v>6.25E-2</v>
      </c>
      <c r="O93" s="1">
        <f t="shared" si="20"/>
        <v>0.34166666666666667</v>
      </c>
      <c r="P93" s="4">
        <f t="shared" si="21"/>
        <v>8.1999999999999993</v>
      </c>
      <c r="Q93" s="5">
        <f t="shared" si="22"/>
        <v>10</v>
      </c>
      <c r="S93" s="1">
        <f>IF(G93&lt;Daten!$T$3,Dienste!G93,0)</f>
        <v>0</v>
      </c>
      <c r="T93" s="1">
        <f>IF(G93&lt;Daten!$T$3,IF(H93&gt;Daten!$T$3,Daten!$T$3,Dienste!H93),0)</f>
        <v>0</v>
      </c>
      <c r="U93" s="1">
        <f>IF(H93*24&gt;Daten!$T$2*24+24, (Daten!$T$2*24+24)/24, 0)</f>
        <v>0</v>
      </c>
      <c r="V93" s="1">
        <f>IF(H93*24&gt;Daten!$T$2*24+24,IF(H93*24&gt;Daten!$T$3*24+24,(Daten!$T$3*24+24)/24,H93),0)</f>
        <v>0</v>
      </c>
      <c r="W93" s="4">
        <f t="shared" si="28"/>
        <v>0</v>
      </c>
    </row>
    <row r="94" spans="1:23">
      <c r="B94" s="46">
        <f t="shared" si="23"/>
        <v>44578</v>
      </c>
      <c r="C94" s="5" t="str">
        <f t="shared" si="24"/>
        <v>44578 Dienst 19</v>
      </c>
      <c r="D94" s="100" t="s">
        <v>226</v>
      </c>
      <c r="E94" s="226"/>
      <c r="F94" s="5" t="str">
        <f t="shared" si="19"/>
        <v>Tour 19</v>
      </c>
      <c r="G94" s="102">
        <v>0.60416666666666663</v>
      </c>
      <c r="H94" s="102">
        <v>0.93611111111111101</v>
      </c>
      <c r="I94" s="1">
        <f t="shared" si="25"/>
        <v>0.33194444444444438</v>
      </c>
      <c r="J94" s="4">
        <f t="shared" si="26"/>
        <v>7.966666666666665</v>
      </c>
      <c r="K94" s="118">
        <f>VLOOKUP(Dienste!C94,Regiezeiten!B:E,3,FALSE)</f>
        <v>0</v>
      </c>
      <c r="L94" s="118">
        <f>VLOOKUP(Dienste!C94,Regiezeiten!B:E,4,FALSE)</f>
        <v>1.041666666666663E-2</v>
      </c>
      <c r="M94" s="1">
        <f t="shared" si="27"/>
        <v>1.041666666666663E-2</v>
      </c>
      <c r="N94" s="118">
        <f>IF(VLOOKUP(C94,Pause!B:D,3,FALSE)&gt;Datenblatt!$B$12,Datenblatt!$B$12,VLOOKUP(C94,Pause!B:D,3,FALSE))</f>
        <v>4.513888888888884E-2</v>
      </c>
      <c r="O94" s="1">
        <f t="shared" si="20"/>
        <v>0.28680555555555554</v>
      </c>
      <c r="P94" s="4">
        <f t="shared" si="21"/>
        <v>6.8833333333333329</v>
      </c>
      <c r="Q94" s="5">
        <f t="shared" si="22"/>
        <v>8</v>
      </c>
      <c r="S94" s="1">
        <f>IF(G94&lt;Daten!$T$3,Dienste!G94,0)</f>
        <v>0</v>
      </c>
      <c r="T94" s="1">
        <f>IF(G94&lt;Daten!$T$3,IF(H94&gt;Daten!$T$3,Daten!$T$3,Dienste!H94),0)</f>
        <v>0</v>
      </c>
      <c r="U94" s="1">
        <f>IF(H94*24&gt;Daten!$T$2*24+24, (Daten!$T$2*24+24)/24, 0)</f>
        <v>0</v>
      </c>
      <c r="V94" s="1">
        <f>IF(H94*24&gt;Daten!$T$2*24+24,IF(H94*24&gt;Daten!$T$3*24+24,(Daten!$T$3*24+24)/24,H94),0)</f>
        <v>0</v>
      </c>
      <c r="W94" s="4">
        <f t="shared" si="28"/>
        <v>0</v>
      </c>
    </row>
    <row r="95" spans="1:23">
      <c r="B95" s="46">
        <f t="shared" si="23"/>
        <v>44578</v>
      </c>
      <c r="C95" s="5" t="str">
        <f t="shared" si="24"/>
        <v>44578 Dienst 20</v>
      </c>
      <c r="D95" s="100" t="s">
        <v>227</v>
      </c>
      <c r="E95" s="226"/>
      <c r="F95" s="5" t="str">
        <f t="shared" si="19"/>
        <v>Tour 20</v>
      </c>
      <c r="G95" s="102">
        <v>0.60416666666666663</v>
      </c>
      <c r="H95" s="102">
        <v>0.96250000000000002</v>
      </c>
      <c r="I95" s="1">
        <f t="shared" si="25"/>
        <v>0.35833333333333339</v>
      </c>
      <c r="J95" s="4">
        <f t="shared" si="26"/>
        <v>8.6000000000000014</v>
      </c>
      <c r="K95" s="118">
        <f>VLOOKUP(Dienste!C95,Regiezeiten!B:E,3,FALSE)</f>
        <v>0</v>
      </c>
      <c r="L95" s="118">
        <f>VLOOKUP(Dienste!C95,Regiezeiten!B:E,4,FALSE)</f>
        <v>1.041666666666663E-2</v>
      </c>
      <c r="M95" s="1">
        <f t="shared" si="27"/>
        <v>1.041666666666663E-2</v>
      </c>
      <c r="N95" s="118">
        <f>IF(VLOOKUP(C95,Pause!B:D,3,FALSE)&gt;Datenblatt!$B$12,Datenblatt!$B$12,VLOOKUP(C95,Pause!B:D,3,FALSE))</f>
        <v>4.4444444444444509E-2</v>
      </c>
      <c r="O95" s="1">
        <f t="shared" si="20"/>
        <v>0.31388888888888888</v>
      </c>
      <c r="P95" s="4">
        <f t="shared" si="21"/>
        <v>7.5333333333333332</v>
      </c>
      <c r="Q95" s="5">
        <f t="shared" si="22"/>
        <v>9</v>
      </c>
      <c r="S95" s="1">
        <f>IF(G95&lt;Daten!$T$3,Dienste!G95,0)</f>
        <v>0</v>
      </c>
      <c r="T95" s="1">
        <f>IF(G95&lt;Daten!$T$3,IF(H95&gt;Daten!$T$3,Daten!$T$3,Dienste!H95),0)</f>
        <v>0</v>
      </c>
      <c r="U95" s="1">
        <f>IF(H95*24&gt;Daten!$T$2*24+24, (Daten!$T$2*24+24)/24, 0)</f>
        <v>0</v>
      </c>
      <c r="V95" s="1">
        <f>IF(H95*24&gt;Daten!$T$2*24+24,IF(H95*24&gt;Daten!$T$3*24+24,(Daten!$T$3*24+24)/24,H95),0)</f>
        <v>0</v>
      </c>
      <c r="W95" s="4">
        <f t="shared" si="28"/>
        <v>0</v>
      </c>
    </row>
    <row r="96" spans="1:23">
      <c r="B96" s="46">
        <f t="shared" si="23"/>
        <v>44578</v>
      </c>
      <c r="C96" s="5" t="str">
        <f t="shared" si="24"/>
        <v>44578 Dienst 21</v>
      </c>
      <c r="D96" s="100" t="s">
        <v>228</v>
      </c>
      <c r="E96" s="226"/>
      <c r="F96" s="5" t="str">
        <f t="shared" si="19"/>
        <v>Tour 21</v>
      </c>
      <c r="G96" s="102">
        <v>0.3527777777777778</v>
      </c>
      <c r="H96" s="102">
        <v>0.96319444444444446</v>
      </c>
      <c r="I96" s="1">
        <f t="shared" si="25"/>
        <v>0.61041666666666661</v>
      </c>
      <c r="J96" s="4">
        <f t="shared" si="26"/>
        <v>14.649999999999999</v>
      </c>
      <c r="K96" s="118">
        <f>VLOOKUP(Dienste!C96,Regiezeiten!B:E,3,FALSE)</f>
        <v>0</v>
      </c>
      <c r="L96" s="118">
        <f>VLOOKUP(Dienste!C96,Regiezeiten!B:E,4,FALSE)</f>
        <v>1.041666666666663E-2</v>
      </c>
      <c r="M96" s="1">
        <f t="shared" si="27"/>
        <v>1.041666666666663E-2</v>
      </c>
      <c r="N96" s="118">
        <f>IF(VLOOKUP(C96,Pause!B:D,3,FALSE)&gt;Datenblatt!$B$12,Datenblatt!$B$12,VLOOKUP(C96,Pause!B:D,3,FALSE))</f>
        <v>6.25E-2</v>
      </c>
      <c r="O96" s="1">
        <f t="shared" si="20"/>
        <v>0.54791666666666661</v>
      </c>
      <c r="P96" s="4">
        <f t="shared" si="21"/>
        <v>13.149999999999999</v>
      </c>
      <c r="Q96" s="5">
        <f t="shared" si="22"/>
        <v>12</v>
      </c>
      <c r="S96" s="1">
        <f>IF(G96&lt;Daten!$T$3,Dienste!G96,0)</f>
        <v>0</v>
      </c>
      <c r="T96" s="1">
        <f>IF(G96&lt;Daten!$T$3,IF(H96&gt;Daten!$T$3,Daten!$T$3,Dienste!H96),0)</f>
        <v>0</v>
      </c>
      <c r="U96" s="1">
        <f>IF(H96*24&gt;Daten!$T$2*24+24, (Daten!$T$2*24+24)/24, 0)</f>
        <v>0</v>
      </c>
      <c r="V96" s="1">
        <f>IF(H96*24&gt;Daten!$T$2*24+24,IF(H96*24&gt;Daten!$T$3*24+24,(Daten!$T$3*24+24)/24,H96),0)</f>
        <v>0</v>
      </c>
      <c r="W96" s="4">
        <f t="shared" si="28"/>
        <v>0</v>
      </c>
    </row>
    <row r="97" spans="1:23">
      <c r="B97" s="46">
        <f t="shared" si="23"/>
        <v>44578</v>
      </c>
      <c r="C97" s="5" t="str">
        <f t="shared" si="24"/>
        <v>44578 Dienst 22</v>
      </c>
      <c r="D97" s="100" t="s">
        <v>229</v>
      </c>
      <c r="E97" s="226"/>
      <c r="F97" s="5" t="str">
        <f t="shared" si="19"/>
        <v>Tour 22</v>
      </c>
      <c r="G97" s="102">
        <v>0.55763888888888891</v>
      </c>
      <c r="H97" s="102">
        <v>0.96319444444444446</v>
      </c>
      <c r="I97" s="1">
        <f t="shared" si="25"/>
        <v>0.40555555555555556</v>
      </c>
      <c r="J97" s="4">
        <f t="shared" si="26"/>
        <v>9.7333333333333343</v>
      </c>
      <c r="K97" s="118">
        <f>VLOOKUP(Dienste!C97,Regiezeiten!B:E,3,FALSE)</f>
        <v>0</v>
      </c>
      <c r="L97" s="118">
        <f>VLOOKUP(Dienste!C97,Regiezeiten!B:E,4,FALSE)</f>
        <v>1.041666666666663E-2</v>
      </c>
      <c r="M97" s="1">
        <f t="shared" si="27"/>
        <v>1.041666666666663E-2</v>
      </c>
      <c r="N97" s="118">
        <f>IF(VLOOKUP(C97,Pause!B:D,3,FALSE)&gt;Datenblatt!$B$12,Datenblatt!$B$12,VLOOKUP(C97,Pause!B:D,3,FALSE))</f>
        <v>6.25E-2</v>
      </c>
      <c r="O97" s="1">
        <f t="shared" si="20"/>
        <v>0.34305555555555556</v>
      </c>
      <c r="P97" s="4">
        <f t="shared" si="21"/>
        <v>8.2333333333333343</v>
      </c>
      <c r="Q97" s="5">
        <f t="shared" si="22"/>
        <v>10</v>
      </c>
      <c r="S97" s="1">
        <f>IF(G97&lt;Daten!$T$3,Dienste!G97,0)</f>
        <v>0</v>
      </c>
      <c r="T97" s="1">
        <f>IF(G97&lt;Daten!$T$3,IF(H97&gt;Daten!$T$3,Daten!$T$3,Dienste!H97),0)</f>
        <v>0</v>
      </c>
      <c r="U97" s="1">
        <f>IF(H97*24&gt;Daten!$T$2*24+24, (Daten!$T$2*24+24)/24, 0)</f>
        <v>0</v>
      </c>
      <c r="V97" s="1">
        <f>IF(H97*24&gt;Daten!$T$2*24+24,IF(H97*24&gt;Daten!$T$3*24+24,(Daten!$T$3*24+24)/24,H97),0)</f>
        <v>0</v>
      </c>
      <c r="W97" s="4">
        <f t="shared" si="28"/>
        <v>0</v>
      </c>
    </row>
    <row r="98" spans="1:23" s="5" customFormat="1">
      <c r="A98" s="100"/>
      <c r="B98" s="46">
        <f t="shared" si="23"/>
        <v>44578</v>
      </c>
      <c r="C98" s="5" t="str">
        <f t="shared" si="24"/>
        <v>44578 Dienst 22 O</v>
      </c>
      <c r="D98" s="100" t="s">
        <v>279</v>
      </c>
      <c r="E98" s="226"/>
      <c r="F98" s="5" t="str">
        <f t="shared" si="19"/>
        <v>Tour 22 O</v>
      </c>
      <c r="G98" s="102">
        <v>0.55763888888888891</v>
      </c>
      <c r="H98" s="102">
        <v>0.94236111111111109</v>
      </c>
      <c r="I98" s="1">
        <f t="shared" ref="I98" si="29">H98-G98</f>
        <v>0.38472222222222219</v>
      </c>
      <c r="J98" s="4">
        <f t="shared" si="26"/>
        <v>9.2333333333333325</v>
      </c>
      <c r="K98" s="118">
        <f>VLOOKUP(Dienste!C98,Regiezeiten!B:E,3,FALSE)</f>
        <v>0</v>
      </c>
      <c r="L98" s="118">
        <f>VLOOKUP(Dienste!C98,Regiezeiten!B:E,4,FALSE)</f>
        <v>1.041666666666663E-2</v>
      </c>
      <c r="M98" s="1">
        <f t="shared" ref="M98" si="30">L98+K98</f>
        <v>1.041666666666663E-2</v>
      </c>
      <c r="N98" s="118">
        <f>IF(VLOOKUP(C98,Pause!B:D,3,FALSE)&gt;Datenblatt!$B$12,Datenblatt!$B$12,VLOOKUP(C98,Pause!B:D,3,FALSE))</f>
        <v>6.25E-2</v>
      </c>
      <c r="O98" s="1">
        <f t="shared" si="20"/>
        <v>0.32222222222222219</v>
      </c>
      <c r="P98" s="4">
        <f t="shared" si="21"/>
        <v>7.7333333333333325</v>
      </c>
      <c r="Q98" s="5">
        <f t="shared" si="22"/>
        <v>9</v>
      </c>
      <c r="S98" s="1">
        <f>IF(G98&lt;Daten!$T$3,Dienste!G98,0)</f>
        <v>0</v>
      </c>
      <c r="T98" s="1">
        <f>IF(G98&lt;Daten!$T$3,IF(H98&gt;Daten!$T$3,Daten!$T$3,Dienste!H98),0)</f>
        <v>0</v>
      </c>
      <c r="U98" s="1">
        <f>IF(H98*24&gt;Daten!$T$2*24+24, (Daten!$T$2*24+24)/24, 0)</f>
        <v>0</v>
      </c>
      <c r="V98" s="1">
        <f>IF(H98*24&gt;Daten!$T$2*24+24,IF(H98*24&gt;Daten!$T$3*24+24,(Daten!$T$3*24+24)/24,H98),0)</f>
        <v>0</v>
      </c>
      <c r="W98" s="4">
        <f t="shared" ref="W98" si="31">((V98-U98)+(T98-S98))*24</f>
        <v>0</v>
      </c>
    </row>
    <row r="99" spans="1:23">
      <c r="B99" s="46">
        <f t="shared" si="23"/>
        <v>44578</v>
      </c>
      <c r="C99" s="5" t="str">
        <f t="shared" si="24"/>
        <v>44578 Dienst 23</v>
      </c>
      <c r="D99" s="100" t="s">
        <v>280</v>
      </c>
      <c r="E99" s="226"/>
      <c r="F99" s="5" t="str">
        <f t="shared" si="19"/>
        <v>Tour 23</v>
      </c>
      <c r="G99" s="102">
        <v>0.3972222222222222</v>
      </c>
      <c r="H99" s="102">
        <v>0.94652777777777775</v>
      </c>
      <c r="I99" s="1">
        <f t="shared" si="25"/>
        <v>0.54930555555555549</v>
      </c>
      <c r="J99" s="4">
        <f t="shared" si="26"/>
        <v>13.183333333333332</v>
      </c>
      <c r="K99" s="118">
        <f>VLOOKUP(Dienste!C99,Regiezeiten!B:E,3,FALSE)</f>
        <v>0</v>
      </c>
      <c r="L99" s="118">
        <f>VLOOKUP(Dienste!C99,Regiezeiten!B:E,4,FALSE)</f>
        <v>1.0416666666666741E-2</v>
      </c>
      <c r="M99" s="1">
        <f t="shared" si="27"/>
        <v>1.0416666666666741E-2</v>
      </c>
      <c r="N99" s="118">
        <f>IF(VLOOKUP(C99,Pause!B:D,3,FALSE)&gt;Datenblatt!$B$12,Datenblatt!$B$12,VLOOKUP(C99,Pause!B:D,3,FALSE))</f>
        <v>6.25E-2</v>
      </c>
      <c r="O99" s="1">
        <f t="shared" si="20"/>
        <v>0.48680555555555549</v>
      </c>
      <c r="P99" s="4">
        <f t="shared" si="21"/>
        <v>11.683333333333332</v>
      </c>
      <c r="Q99" s="5">
        <f t="shared" si="22"/>
        <v>12</v>
      </c>
      <c r="S99" s="1">
        <f>IF(G99&lt;Daten!$T$3,Dienste!G99,0)</f>
        <v>0</v>
      </c>
      <c r="T99" s="1">
        <f>IF(G99&lt;Daten!$T$3,IF(H99&gt;Daten!$T$3,Daten!$T$3,Dienste!H99),0)</f>
        <v>0</v>
      </c>
      <c r="U99" s="1">
        <f>IF(H99*24&gt;Daten!$T$2*24+24, (Daten!$T$2*24+24)/24, 0)</f>
        <v>0</v>
      </c>
      <c r="V99" s="1">
        <f>IF(H99*24&gt;Daten!$T$2*24+24,IF(H99*24&gt;Daten!$T$3*24+24,(Daten!$T$3*24+24)/24,H99),0)</f>
        <v>0</v>
      </c>
      <c r="W99" s="4">
        <f t="shared" si="28"/>
        <v>0</v>
      </c>
    </row>
    <row r="100" spans="1:23">
      <c r="B100" s="46">
        <f t="shared" si="23"/>
        <v>44578</v>
      </c>
      <c r="C100" s="5" t="str">
        <f t="shared" si="24"/>
        <v>44578 Dienst 24</v>
      </c>
      <c r="D100" s="100" t="s">
        <v>281</v>
      </c>
      <c r="E100" s="226"/>
      <c r="F100" s="5" t="str">
        <f t="shared" si="19"/>
        <v>Tour 24</v>
      </c>
      <c r="G100" s="102">
        <v>0.33263888888888887</v>
      </c>
      <c r="H100" s="102">
        <v>0.92499999999999993</v>
      </c>
      <c r="I100" s="1">
        <f t="shared" si="25"/>
        <v>0.59236111111111112</v>
      </c>
      <c r="J100" s="4">
        <f t="shared" si="26"/>
        <v>14.216666666666667</v>
      </c>
      <c r="K100" s="118">
        <f>VLOOKUP(Dienste!C100,Regiezeiten!B:E,3,FALSE)</f>
        <v>0</v>
      </c>
      <c r="L100" s="118">
        <f>VLOOKUP(Dienste!C100,Regiezeiten!B:E,4,FALSE)</f>
        <v>1.041666666666663E-2</v>
      </c>
      <c r="M100" s="1">
        <f t="shared" si="27"/>
        <v>1.041666666666663E-2</v>
      </c>
      <c r="N100" s="118">
        <f>IF(VLOOKUP(C100,Pause!B:D,3,FALSE)&gt;Datenblatt!$B$12,Datenblatt!$B$12,VLOOKUP(C100,Pause!B:D,3,FALSE))</f>
        <v>6.25E-2</v>
      </c>
      <c r="O100" s="1">
        <f t="shared" si="20"/>
        <v>0.52986111111111112</v>
      </c>
      <c r="P100" s="4">
        <f t="shared" si="21"/>
        <v>12.716666666666667</v>
      </c>
      <c r="Q100" s="5">
        <f t="shared" si="22"/>
        <v>12</v>
      </c>
      <c r="S100" s="1">
        <f>IF(G100&lt;Daten!$T$3,Dienste!G100,0)</f>
        <v>0</v>
      </c>
      <c r="T100" s="1">
        <f>IF(G100&lt;Daten!$T$3,IF(H100&gt;Daten!$T$3,Daten!$T$3,Dienste!H100),0)</f>
        <v>0</v>
      </c>
      <c r="U100" s="1">
        <f>IF(H100*24&gt;Daten!$T$2*24+24, (Daten!$T$2*24+24)/24, 0)</f>
        <v>0</v>
      </c>
      <c r="V100" s="1">
        <f>IF(H100*24&gt;Daten!$T$2*24+24,IF(H100*24&gt;Daten!$T$3*24+24,(Daten!$T$3*24+24)/24,H100),0)</f>
        <v>0</v>
      </c>
      <c r="W100" s="4">
        <f t="shared" si="28"/>
        <v>0</v>
      </c>
    </row>
    <row r="101" spans="1:23">
      <c r="B101" s="46">
        <f t="shared" si="23"/>
        <v>44578</v>
      </c>
      <c r="C101" s="5" t="str">
        <f t="shared" si="24"/>
        <v>44578 Dienst 25</v>
      </c>
      <c r="D101" s="100" t="s">
        <v>234</v>
      </c>
      <c r="E101" s="226"/>
      <c r="F101" s="5" t="str">
        <f t="shared" si="19"/>
        <v>Tour 25</v>
      </c>
      <c r="G101" s="102">
        <v>0.35347222222222219</v>
      </c>
      <c r="H101" s="102">
        <v>0.94791666666666663</v>
      </c>
      <c r="I101" s="1">
        <f t="shared" si="25"/>
        <v>0.59444444444444444</v>
      </c>
      <c r="J101" s="4">
        <f t="shared" si="26"/>
        <v>14.266666666666666</v>
      </c>
      <c r="K101" s="118">
        <f>VLOOKUP(Dienste!C101,Regiezeiten!B:E,3,FALSE)</f>
        <v>0</v>
      </c>
      <c r="L101" s="118">
        <f>VLOOKUP(Dienste!C101,Regiezeiten!B:E,4,FALSE)</f>
        <v>1.041666666666663E-2</v>
      </c>
      <c r="M101" s="1">
        <f t="shared" si="27"/>
        <v>1.041666666666663E-2</v>
      </c>
      <c r="N101" s="118">
        <f>IF(VLOOKUP(C101,Pause!B:D,3,FALSE)&gt;Datenblatt!$B$12,Datenblatt!$B$12,VLOOKUP(C101,Pause!B:D,3,FALSE))</f>
        <v>6.25E-2</v>
      </c>
      <c r="O101" s="1">
        <f t="shared" si="20"/>
        <v>0.53194444444444444</v>
      </c>
      <c r="P101" s="4">
        <f t="shared" si="21"/>
        <v>12.766666666666666</v>
      </c>
      <c r="Q101" s="5">
        <f t="shared" si="22"/>
        <v>12</v>
      </c>
      <c r="S101" s="1">
        <f>IF(G101&lt;Daten!$T$3,Dienste!G101,0)</f>
        <v>0</v>
      </c>
      <c r="T101" s="1">
        <f>IF(G101&lt;Daten!$T$3,IF(H101&gt;Daten!$T$3,Daten!$T$3,Dienste!H101),0)</f>
        <v>0</v>
      </c>
      <c r="U101" s="1">
        <f>IF(H101*24&gt;Daten!$T$2*24+24, (Daten!$T$2*24+24)/24, 0)</f>
        <v>0</v>
      </c>
      <c r="V101" s="1">
        <f>IF(H101*24&gt;Daten!$T$2*24+24,IF(H101*24&gt;Daten!$T$3*24+24,(Daten!$T$3*24+24)/24,H101),0)</f>
        <v>0</v>
      </c>
      <c r="W101" s="4">
        <f t="shared" si="28"/>
        <v>0</v>
      </c>
    </row>
    <row r="102" spans="1:23">
      <c r="B102" s="46">
        <f t="shared" si="23"/>
        <v>44578</v>
      </c>
      <c r="C102" s="5" t="str">
        <f t="shared" si="24"/>
        <v>44578 Dienst 26 oR</v>
      </c>
      <c r="D102" s="100" t="s">
        <v>282</v>
      </c>
      <c r="E102" s="226"/>
      <c r="F102" s="5" t="str">
        <f t="shared" si="19"/>
        <v>Tour 26 oR</v>
      </c>
      <c r="G102" s="102">
        <v>0.70694444444444438</v>
      </c>
      <c r="H102" s="102">
        <v>0.97361111111111109</v>
      </c>
      <c r="I102" s="1">
        <f t="shared" si="25"/>
        <v>0.26666666666666672</v>
      </c>
      <c r="J102" s="4">
        <f t="shared" si="26"/>
        <v>6.4000000000000012</v>
      </c>
      <c r="K102" s="118">
        <f>VLOOKUP(Dienste!C102,Regiezeiten!B:E,3,FALSE)</f>
        <v>0</v>
      </c>
      <c r="L102" s="118">
        <f>VLOOKUP(Dienste!C102,Regiezeiten!B:E,4,FALSE)</f>
        <v>1.041666666666663E-2</v>
      </c>
      <c r="M102" s="1">
        <f t="shared" si="27"/>
        <v>1.041666666666663E-2</v>
      </c>
      <c r="N102" s="118">
        <f>IF(VLOOKUP(C102,Pause!B:D,3,FALSE)&gt;Datenblatt!$B$12,Datenblatt!$B$12,VLOOKUP(C102,Pause!B:D,3,FALSE))</f>
        <v>0</v>
      </c>
      <c r="O102" s="1">
        <f t="shared" si="20"/>
        <v>0.27083333333333331</v>
      </c>
      <c r="P102" s="4">
        <f t="shared" si="21"/>
        <v>6.5</v>
      </c>
      <c r="Q102" s="5">
        <f t="shared" si="22"/>
        <v>7</v>
      </c>
      <c r="S102" s="1">
        <f>IF(G102&lt;Daten!$T$3,Dienste!G102,0)</f>
        <v>0</v>
      </c>
      <c r="T102" s="1">
        <f>IF(G102&lt;Daten!$T$3,IF(H102&gt;Daten!$T$3,Daten!$T$3,Dienste!H102),0)</f>
        <v>0</v>
      </c>
      <c r="U102" s="1">
        <f>IF(H102*24&gt;Daten!$T$2*24+24, (Daten!$T$2*24+24)/24, 0)</f>
        <v>0</v>
      </c>
      <c r="V102" s="1">
        <f>IF(H102*24&gt;Daten!$T$2*24+24,IF(H102*24&gt;Daten!$T$3*24+24,(Daten!$T$3*24+24)/24,H102),0)</f>
        <v>0</v>
      </c>
      <c r="W102" s="4">
        <f t="shared" si="28"/>
        <v>0</v>
      </c>
    </row>
    <row r="103" spans="1:23">
      <c r="B103" s="46">
        <f t="shared" si="23"/>
        <v>44578</v>
      </c>
      <c r="C103" s="5" t="str">
        <f t="shared" si="24"/>
        <v>44578 Dienst 26 mR</v>
      </c>
      <c r="D103" s="100" t="s">
        <v>283</v>
      </c>
      <c r="E103" s="226"/>
      <c r="F103" s="5" t="str">
        <f t="shared" si="19"/>
        <v>Tour 26 mR</v>
      </c>
      <c r="G103" s="102">
        <v>0.70277777777777783</v>
      </c>
      <c r="H103" s="102">
        <v>0.97361111111111109</v>
      </c>
      <c r="I103" s="1">
        <f t="shared" si="25"/>
        <v>0.27083333333333326</v>
      </c>
      <c r="J103" s="4">
        <f t="shared" si="26"/>
        <v>6.4999999999999982</v>
      </c>
      <c r="K103" s="118">
        <f>VLOOKUP(Dienste!C103,Regiezeiten!B:E,3,FALSE)</f>
        <v>4.1666666666665408E-3</v>
      </c>
      <c r="L103" s="118">
        <f>VLOOKUP(Dienste!C103,Regiezeiten!B:E,4,FALSE)</f>
        <v>1.041666666666663E-2</v>
      </c>
      <c r="M103" s="1">
        <f t="shared" si="27"/>
        <v>1.4583333333333171E-2</v>
      </c>
      <c r="N103" s="118">
        <f>IF(VLOOKUP(C103,Pause!B:D,3,FALSE)&gt;Datenblatt!$B$12,Datenblatt!$B$12,VLOOKUP(C103,Pause!B:D,3,FALSE))</f>
        <v>0</v>
      </c>
      <c r="O103" s="1">
        <f t="shared" si="20"/>
        <v>0.27083333333333326</v>
      </c>
      <c r="P103" s="4">
        <f t="shared" si="21"/>
        <v>6.4999999999999982</v>
      </c>
      <c r="Q103" s="5">
        <f t="shared" si="22"/>
        <v>7</v>
      </c>
      <c r="S103" s="1">
        <f>IF(G103&lt;Daten!$T$3,Dienste!G103,0)</f>
        <v>0</v>
      </c>
      <c r="T103" s="1">
        <f>IF(G103&lt;Daten!$T$3,IF(H103&gt;Daten!$T$3,Daten!$T$3,Dienste!H103),0)</f>
        <v>0</v>
      </c>
      <c r="U103" s="1">
        <f>IF(H103*24&gt;Daten!$T$2*24+24, (Daten!$T$2*24+24)/24, 0)</f>
        <v>0</v>
      </c>
      <c r="V103" s="1">
        <f>IF(H103*24&gt;Daten!$T$2*24+24,IF(H103*24&gt;Daten!$T$3*24+24,(Daten!$T$3*24+24)/24,H103),0)</f>
        <v>0</v>
      </c>
      <c r="W103" s="4">
        <f t="shared" si="28"/>
        <v>0</v>
      </c>
    </row>
    <row r="104" spans="1:23">
      <c r="B104" s="46">
        <f t="shared" si="23"/>
        <v>44578</v>
      </c>
      <c r="C104" s="5" t="str">
        <f t="shared" si="24"/>
        <v>44578 Dienst 27</v>
      </c>
      <c r="D104" s="100" t="s">
        <v>236</v>
      </c>
      <c r="E104" s="226"/>
      <c r="F104" s="5" t="str">
        <f t="shared" si="19"/>
        <v>Tour 27</v>
      </c>
      <c r="G104" s="102">
        <v>0.58194444444444449</v>
      </c>
      <c r="H104" s="102">
        <v>0.94513888888888886</v>
      </c>
      <c r="I104" s="1">
        <f t="shared" si="25"/>
        <v>0.36319444444444438</v>
      </c>
      <c r="J104" s="4">
        <f t="shared" si="26"/>
        <v>8.716666666666665</v>
      </c>
      <c r="K104" s="118">
        <f>VLOOKUP(Dienste!C104,Regiezeiten!B:E,3,FALSE)</f>
        <v>0</v>
      </c>
      <c r="L104" s="118">
        <f>VLOOKUP(Dienste!C104,Regiezeiten!B:E,4,FALSE)</f>
        <v>1.041666666666663E-2</v>
      </c>
      <c r="M104" s="1">
        <f t="shared" si="27"/>
        <v>1.041666666666663E-2</v>
      </c>
      <c r="N104" s="118">
        <f>IF(VLOOKUP(C104,Pause!B:D,3,FALSE)&gt;Datenblatt!$B$12,Datenblatt!$B$12,VLOOKUP(C104,Pause!B:D,3,FALSE))</f>
        <v>4.4444444444444398E-2</v>
      </c>
      <c r="O104" s="1">
        <f t="shared" si="20"/>
        <v>0.31874999999999998</v>
      </c>
      <c r="P104" s="4">
        <f t="shared" si="21"/>
        <v>7.6499999999999995</v>
      </c>
      <c r="Q104" s="5">
        <f t="shared" si="22"/>
        <v>9</v>
      </c>
      <c r="S104" s="1">
        <f>IF(G104&lt;Daten!$T$3,Dienste!G104,0)</f>
        <v>0</v>
      </c>
      <c r="T104" s="1">
        <f>IF(G104&lt;Daten!$T$3,IF(H104&gt;Daten!$T$3,Daten!$T$3,Dienste!H104),0)</f>
        <v>0</v>
      </c>
      <c r="U104" s="1">
        <f>IF(H104*24&gt;Daten!$T$2*24+24, (Daten!$T$2*24+24)/24, 0)</f>
        <v>0</v>
      </c>
      <c r="V104" s="1">
        <f>IF(H104*24&gt;Daten!$T$2*24+24,IF(H104*24&gt;Daten!$T$3*24+24,(Daten!$T$3*24+24)/24,H104),0)</f>
        <v>0</v>
      </c>
      <c r="W104" s="4">
        <f t="shared" si="28"/>
        <v>0</v>
      </c>
    </row>
    <row r="105" spans="1:23">
      <c r="B105" s="46">
        <f t="shared" si="23"/>
        <v>44578</v>
      </c>
      <c r="C105" s="5" t="str">
        <f t="shared" si="24"/>
        <v>44578 Dienst 1 Sa</v>
      </c>
      <c r="D105" s="100" t="s">
        <v>238</v>
      </c>
      <c r="E105" s="105"/>
      <c r="F105" s="5" t="str">
        <f t="shared" si="19"/>
        <v>Tour 1 Sa</v>
      </c>
      <c r="G105" s="102">
        <v>0.23819444444444446</v>
      </c>
      <c r="H105" s="102">
        <v>0.5229166666666667</v>
      </c>
      <c r="I105" s="1">
        <f t="shared" si="25"/>
        <v>0.28472222222222221</v>
      </c>
      <c r="J105" s="4">
        <f t="shared" si="26"/>
        <v>6.833333333333333</v>
      </c>
      <c r="K105" s="118">
        <f>VLOOKUP(Dienste!C105,Regiezeiten!B:E,3,FALSE)</f>
        <v>6.9444444444444198E-3</v>
      </c>
      <c r="L105" s="118">
        <f>VLOOKUP(Dienste!C105,Regiezeiten!B:E,4,FALSE)</f>
        <v>0</v>
      </c>
      <c r="M105" s="1">
        <f t="shared" si="27"/>
        <v>6.9444444444444198E-3</v>
      </c>
      <c r="N105" s="118">
        <f>IF(VLOOKUP(C105,Pause!B:D,3,FALSE)&gt;Datenblatt!$B$12,Datenblatt!$B$12,VLOOKUP(C105,Pause!B:D,3,FALSE))</f>
        <v>4.3750000000000067E-2</v>
      </c>
      <c r="O105" s="1">
        <f t="shared" si="20"/>
        <v>0.27083333333333331</v>
      </c>
      <c r="P105" s="4">
        <f t="shared" si="21"/>
        <v>6.5</v>
      </c>
      <c r="Q105" s="5">
        <f t="shared" si="22"/>
        <v>7</v>
      </c>
      <c r="S105" s="1">
        <f>IF(G105&lt;Daten!$T$3,Dienste!G105,0)</f>
        <v>0</v>
      </c>
      <c r="T105" s="1">
        <f>IF(G105&lt;Daten!$T$3,IF(H105&gt;Daten!$T$3,Daten!$T$3,Dienste!H105),0)</f>
        <v>0</v>
      </c>
      <c r="U105" s="1">
        <f>IF(H105*24&gt;Daten!$T$2*24+24, (Daten!$T$2*24+24)/24, 0)</f>
        <v>0</v>
      </c>
      <c r="V105" s="1">
        <f>IF(H105*24&gt;Daten!$T$2*24+24,IF(H105*24&gt;Daten!$T$3*24+24,(Daten!$T$3*24+24)/24,H105),0)</f>
        <v>0</v>
      </c>
      <c r="W105" s="4">
        <f t="shared" si="28"/>
        <v>0</v>
      </c>
    </row>
    <row r="106" spans="1:23">
      <c r="B106" s="46">
        <f t="shared" si="23"/>
        <v>44578</v>
      </c>
      <c r="C106" s="5" t="str">
        <f t="shared" si="24"/>
        <v>44578 Dienst 2 Sa</v>
      </c>
      <c r="D106" s="100" t="s">
        <v>239</v>
      </c>
      <c r="E106" s="105"/>
      <c r="F106" s="5" t="str">
        <f t="shared" si="19"/>
        <v>Tour 2 Sa</v>
      </c>
      <c r="G106" s="102">
        <v>0.2590277777777778</v>
      </c>
      <c r="H106" s="102">
        <v>0.79375000000000007</v>
      </c>
      <c r="I106" s="1">
        <f t="shared" si="25"/>
        <v>0.53472222222222232</v>
      </c>
      <c r="J106" s="4">
        <f t="shared" si="26"/>
        <v>12.833333333333336</v>
      </c>
      <c r="K106" s="118">
        <f>VLOOKUP(Dienste!C106,Regiezeiten!B:E,3,FALSE)</f>
        <v>6.9444444444444198E-3</v>
      </c>
      <c r="L106" s="118">
        <f>VLOOKUP(Dienste!C106,Regiezeiten!B:E,4,FALSE)</f>
        <v>0</v>
      </c>
      <c r="M106" s="1">
        <f t="shared" si="27"/>
        <v>6.9444444444444198E-3</v>
      </c>
      <c r="N106" s="118">
        <f>IF(VLOOKUP(C106,Pause!B:D,3,FALSE)&gt;Datenblatt!$B$12,Datenblatt!$B$12,VLOOKUP(C106,Pause!B:D,3,FALSE))</f>
        <v>6.25E-2</v>
      </c>
      <c r="O106" s="1">
        <f t="shared" si="20"/>
        <v>0.47222222222222232</v>
      </c>
      <c r="P106" s="4">
        <f t="shared" si="21"/>
        <v>11.333333333333336</v>
      </c>
      <c r="Q106" s="5">
        <f t="shared" si="22"/>
        <v>12</v>
      </c>
      <c r="S106" s="1">
        <f>IF(G106&lt;Daten!$T$3,Dienste!G106,0)</f>
        <v>0</v>
      </c>
      <c r="T106" s="1">
        <f>IF(G106&lt;Daten!$T$3,IF(H106&gt;Daten!$T$3,Daten!$T$3,Dienste!H106),0)</f>
        <v>0</v>
      </c>
      <c r="U106" s="1">
        <f>IF(H106*24&gt;Daten!$T$2*24+24, (Daten!$T$2*24+24)/24, 0)</f>
        <v>0</v>
      </c>
      <c r="V106" s="1">
        <f>IF(H106*24&gt;Daten!$T$2*24+24,IF(H106*24&gt;Daten!$T$3*24+24,(Daten!$T$3*24+24)/24,H106),0)</f>
        <v>0</v>
      </c>
      <c r="W106" s="4">
        <f t="shared" si="28"/>
        <v>0</v>
      </c>
    </row>
    <row r="107" spans="1:23">
      <c r="B107" s="46">
        <f t="shared" si="23"/>
        <v>44578</v>
      </c>
      <c r="C107" s="5" t="str">
        <f t="shared" si="24"/>
        <v>44578 Dienst 3 Sa</v>
      </c>
      <c r="D107" s="100" t="s">
        <v>240</v>
      </c>
      <c r="E107" s="226" t="s">
        <v>3</v>
      </c>
      <c r="F107" s="5" t="str">
        <f t="shared" si="19"/>
        <v>Tour 3 Sa</v>
      </c>
      <c r="G107" s="102">
        <v>0.24166666666666667</v>
      </c>
      <c r="H107" s="102">
        <v>0.76944444444444438</v>
      </c>
      <c r="I107" s="1">
        <f t="shared" si="25"/>
        <v>0.52777777777777768</v>
      </c>
      <c r="J107" s="4">
        <f t="shared" si="26"/>
        <v>12.666666666666664</v>
      </c>
      <c r="K107" s="118">
        <f>VLOOKUP(Dienste!C107,Regiezeiten!B:E,3,FALSE)</f>
        <v>6.9444444444444475E-3</v>
      </c>
      <c r="L107" s="118">
        <f>VLOOKUP(Dienste!C107,Regiezeiten!B:E,4,FALSE)</f>
        <v>0</v>
      </c>
      <c r="M107" s="1">
        <f t="shared" si="27"/>
        <v>6.9444444444444475E-3</v>
      </c>
      <c r="N107" s="118">
        <f>IF(VLOOKUP(C107,Pause!B:D,3,FALSE)&gt;Datenblatt!$B$12,Datenblatt!$B$12,VLOOKUP(C107,Pause!B:D,3,FALSE))</f>
        <v>6.25E-2</v>
      </c>
      <c r="O107" s="1">
        <f t="shared" si="20"/>
        <v>0.46527777777777768</v>
      </c>
      <c r="P107" s="4">
        <f t="shared" si="21"/>
        <v>11.166666666666664</v>
      </c>
      <c r="Q107" s="5">
        <f t="shared" si="22"/>
        <v>12</v>
      </c>
      <c r="S107" s="1">
        <f>IF(G107&lt;Daten!$T$3,Dienste!G107,0)</f>
        <v>0</v>
      </c>
      <c r="T107" s="1">
        <f>IF(G107&lt;Daten!$T$3,IF(H107&gt;Daten!$T$3,Daten!$T$3,Dienste!H107),0)</f>
        <v>0</v>
      </c>
      <c r="U107" s="1">
        <f>IF(H107*24&gt;Daten!$T$2*24+24, (Daten!$T$2*24+24)/24, 0)</f>
        <v>0</v>
      </c>
      <c r="V107" s="1">
        <f>IF(H107*24&gt;Daten!$T$2*24+24,IF(H107*24&gt;Daten!$T$3*24+24,(Daten!$T$3*24+24)/24,H107),0)</f>
        <v>0</v>
      </c>
      <c r="W107" s="4">
        <f t="shared" si="28"/>
        <v>0</v>
      </c>
    </row>
    <row r="108" spans="1:23">
      <c r="B108" s="46">
        <f t="shared" si="23"/>
        <v>44578</v>
      </c>
      <c r="C108" s="5" t="str">
        <f t="shared" si="24"/>
        <v>44578 Dienst 4 Sa</v>
      </c>
      <c r="D108" s="100" t="s">
        <v>241</v>
      </c>
      <c r="E108" s="226"/>
      <c r="F108" s="5" t="str">
        <f t="shared" si="19"/>
        <v>Tour 4 Sa</v>
      </c>
      <c r="G108" s="102">
        <v>0.22916666666666666</v>
      </c>
      <c r="H108" s="102">
        <v>0.79027777777777775</v>
      </c>
      <c r="I108" s="1">
        <f t="shared" si="25"/>
        <v>0.56111111111111112</v>
      </c>
      <c r="J108" s="4">
        <f t="shared" si="26"/>
        <v>13.466666666666667</v>
      </c>
      <c r="K108" s="118">
        <f>VLOOKUP(Dienste!C108,Regiezeiten!B:E,3,FALSE)</f>
        <v>6.9444444444444753E-3</v>
      </c>
      <c r="L108" s="118">
        <f>VLOOKUP(Dienste!C108,Regiezeiten!B:E,4,FALSE)</f>
        <v>0</v>
      </c>
      <c r="M108" s="1">
        <f t="shared" si="27"/>
        <v>6.9444444444444753E-3</v>
      </c>
      <c r="N108" s="118">
        <f>IF(VLOOKUP(C108,Pause!B:D,3,FALSE)&gt;Datenblatt!$B$12,Datenblatt!$B$12,VLOOKUP(C108,Pause!B:D,3,FALSE))</f>
        <v>6.25E-2</v>
      </c>
      <c r="O108" s="1">
        <f t="shared" ref="O108:O133" si="32">IF((H108-G108-N108)*24&lt;6.5,6.5/24,H108-G108-N108)</f>
        <v>0.49861111111111112</v>
      </c>
      <c r="P108" s="4">
        <f t="shared" ref="P108:P133" si="33">O108*24</f>
        <v>11.966666666666667</v>
      </c>
      <c r="Q108" s="5">
        <f t="shared" ref="Q108:Q133" si="34">IF((I108-M108)*24&lt;3,0,IF(ROUNDUP((I108-M108)*24,0)&gt;12,12,ROUNDUP((I108-M108)*24,0)))</f>
        <v>12</v>
      </c>
      <c r="S108" s="1">
        <f>IF(G108&lt;Daten!$T$3,Dienste!G108,0)</f>
        <v>0</v>
      </c>
      <c r="T108" s="1">
        <f>IF(G108&lt;Daten!$T$3,IF(H108&gt;Daten!$T$3,Daten!$T$3,Dienste!H108),0)</f>
        <v>0</v>
      </c>
      <c r="U108" s="1">
        <f>IF(H108*24&gt;Daten!$T$2*24+24, (Daten!$T$2*24+24)/24, 0)</f>
        <v>0</v>
      </c>
      <c r="V108" s="1">
        <f>IF(H108*24&gt;Daten!$T$2*24+24,IF(H108*24&gt;Daten!$T$3*24+24,(Daten!$T$3*24+24)/24,H108),0)</f>
        <v>0</v>
      </c>
      <c r="W108" s="4">
        <f t="shared" si="28"/>
        <v>0</v>
      </c>
    </row>
    <row r="109" spans="1:23">
      <c r="B109" s="46">
        <f t="shared" si="23"/>
        <v>44578</v>
      </c>
      <c r="C109" s="5" t="str">
        <f t="shared" si="24"/>
        <v>44578 Dienst 5 Sa</v>
      </c>
      <c r="D109" s="100" t="s">
        <v>242</v>
      </c>
      <c r="E109" s="226"/>
      <c r="F109" s="5" t="str">
        <f t="shared" si="19"/>
        <v>Tour 5 Sa</v>
      </c>
      <c r="G109" s="102">
        <v>0.24166666666666667</v>
      </c>
      <c r="H109" s="102">
        <v>0.76874999999999993</v>
      </c>
      <c r="I109" s="1">
        <f t="shared" si="25"/>
        <v>0.52708333333333324</v>
      </c>
      <c r="J109" s="4">
        <f t="shared" si="26"/>
        <v>12.649999999999999</v>
      </c>
      <c r="K109" s="118">
        <f>VLOOKUP(Dienste!C109,Regiezeiten!B:E,3,FALSE)</f>
        <v>6.9444444444444475E-3</v>
      </c>
      <c r="L109" s="118">
        <f>VLOOKUP(Dienste!C109,Regiezeiten!B:E,4,FALSE)</f>
        <v>0</v>
      </c>
      <c r="M109" s="1">
        <f t="shared" si="27"/>
        <v>6.9444444444444475E-3</v>
      </c>
      <c r="N109" s="118">
        <f>IF(VLOOKUP(C109,Pause!B:D,3,FALSE)&gt;Datenblatt!$B$12,Datenblatt!$B$12,VLOOKUP(C109,Pause!B:D,3,FALSE))</f>
        <v>6.25E-2</v>
      </c>
      <c r="O109" s="1">
        <f t="shared" si="32"/>
        <v>0.46458333333333324</v>
      </c>
      <c r="P109" s="4">
        <f t="shared" si="33"/>
        <v>11.149999999999999</v>
      </c>
      <c r="Q109" s="5">
        <f t="shared" si="34"/>
        <v>12</v>
      </c>
      <c r="S109" s="1">
        <f>IF(G109&lt;Daten!$T$3,Dienste!G109,0)</f>
        <v>0</v>
      </c>
      <c r="T109" s="1">
        <f>IF(G109&lt;Daten!$T$3,IF(H109&gt;Daten!$T$3,Daten!$T$3,Dienste!H109),0)</f>
        <v>0</v>
      </c>
      <c r="U109" s="1">
        <f>IF(H109*24&gt;Daten!$T$2*24+24, (Daten!$T$2*24+24)/24, 0)</f>
        <v>0</v>
      </c>
      <c r="V109" s="1">
        <f>IF(H109*24&gt;Daten!$T$2*24+24,IF(H109*24&gt;Daten!$T$3*24+24,(Daten!$T$3*24+24)/24,H109),0)</f>
        <v>0</v>
      </c>
      <c r="W109" s="4">
        <f t="shared" si="28"/>
        <v>0</v>
      </c>
    </row>
    <row r="110" spans="1:23">
      <c r="B110" s="46">
        <f t="shared" si="23"/>
        <v>44578</v>
      </c>
      <c r="C110" s="5" t="str">
        <f t="shared" si="24"/>
        <v>44578 Dienst 6 Sa</v>
      </c>
      <c r="D110" s="100" t="s">
        <v>243</v>
      </c>
      <c r="E110" s="226"/>
      <c r="F110" s="5" t="str">
        <f t="shared" si="19"/>
        <v>Tour 6 Sa</v>
      </c>
      <c r="G110" s="102">
        <v>0.24513888888888888</v>
      </c>
      <c r="H110" s="102">
        <v>0.7895833333333333</v>
      </c>
      <c r="I110" s="1">
        <f t="shared" si="25"/>
        <v>0.5444444444444444</v>
      </c>
      <c r="J110" s="4">
        <f t="shared" si="26"/>
        <v>13.066666666666666</v>
      </c>
      <c r="K110" s="118">
        <f>VLOOKUP(Dienste!C110,Regiezeiten!B:E,3,FALSE)</f>
        <v>6.9444444444444475E-3</v>
      </c>
      <c r="L110" s="118">
        <f>VLOOKUP(Dienste!C110,Regiezeiten!B:E,4,FALSE)</f>
        <v>0</v>
      </c>
      <c r="M110" s="1">
        <f t="shared" si="27"/>
        <v>6.9444444444444475E-3</v>
      </c>
      <c r="N110" s="118">
        <f>IF(VLOOKUP(C110,Pause!B:D,3,FALSE)&gt;Datenblatt!$B$12,Datenblatt!$B$12,VLOOKUP(C110,Pause!B:D,3,FALSE))</f>
        <v>6.25E-2</v>
      </c>
      <c r="O110" s="1">
        <f t="shared" si="32"/>
        <v>0.4819444444444444</v>
      </c>
      <c r="P110" s="4">
        <f t="shared" si="33"/>
        <v>11.566666666666666</v>
      </c>
      <c r="Q110" s="5">
        <f t="shared" si="34"/>
        <v>12</v>
      </c>
      <c r="S110" s="1">
        <f>IF(G110&lt;Daten!$T$3,Dienste!G110,0)</f>
        <v>0</v>
      </c>
      <c r="T110" s="1">
        <f>IF(G110&lt;Daten!$T$3,IF(H110&gt;Daten!$T$3,Daten!$T$3,Dienste!H110),0)</f>
        <v>0</v>
      </c>
      <c r="U110" s="1">
        <f>IF(H110*24&gt;Daten!$T$2*24+24, (Daten!$T$2*24+24)/24, 0)</f>
        <v>0</v>
      </c>
      <c r="V110" s="1">
        <f>IF(H110*24&gt;Daten!$T$2*24+24,IF(H110*24&gt;Daten!$T$3*24+24,(Daten!$T$3*24+24)/24,H110),0)</f>
        <v>0</v>
      </c>
      <c r="W110" s="4">
        <f t="shared" si="28"/>
        <v>0</v>
      </c>
    </row>
    <row r="111" spans="1:23">
      <c r="B111" s="46">
        <f t="shared" si="23"/>
        <v>44578</v>
      </c>
      <c r="C111" s="5" t="str">
        <f t="shared" si="24"/>
        <v>44578 Dienst 7 Sa oR</v>
      </c>
      <c r="D111" s="100" t="s">
        <v>284</v>
      </c>
      <c r="E111" s="226"/>
      <c r="F111" s="5" t="str">
        <f t="shared" si="19"/>
        <v>Tour 7 Sa oR</v>
      </c>
      <c r="G111" s="102">
        <v>0.23611111111111113</v>
      </c>
      <c r="H111" s="102">
        <v>0.51944444444444449</v>
      </c>
      <c r="I111" s="1">
        <f t="shared" si="25"/>
        <v>0.28333333333333333</v>
      </c>
      <c r="J111" s="4">
        <f t="shared" si="26"/>
        <v>6.8</v>
      </c>
      <c r="K111" s="118">
        <f>VLOOKUP(Dienste!C111,Regiezeiten!B:E,3,FALSE)</f>
        <v>6.9444444444444198E-3</v>
      </c>
      <c r="L111" s="118">
        <f>VLOOKUP(Dienste!C111,Regiezeiten!B:E,4,FALSE)</f>
        <v>0</v>
      </c>
      <c r="M111" s="1">
        <f t="shared" si="27"/>
        <v>6.9444444444444198E-3</v>
      </c>
      <c r="N111" s="118">
        <f>IF(VLOOKUP(C111,Pause!B:D,3,FALSE)&gt;Datenblatt!$B$12,Datenblatt!$B$12,VLOOKUP(C111,Pause!B:D,3,FALSE))</f>
        <v>4.7916666666666663E-2</v>
      </c>
      <c r="O111" s="1">
        <f t="shared" si="32"/>
        <v>0.27083333333333331</v>
      </c>
      <c r="P111" s="4">
        <f t="shared" si="33"/>
        <v>6.5</v>
      </c>
      <c r="Q111" s="5">
        <f t="shared" si="34"/>
        <v>7</v>
      </c>
      <c r="S111" s="1">
        <f>IF(G111&lt;Daten!$T$3,Dienste!G111,0)</f>
        <v>0</v>
      </c>
      <c r="T111" s="1">
        <f>IF(G111&lt;Daten!$T$3,IF(H111&gt;Daten!$T$3,Daten!$T$3,Dienste!H111),0)</f>
        <v>0</v>
      </c>
      <c r="U111" s="1">
        <f>IF(H111*24&gt;Daten!$T$2*24+24, (Daten!$T$2*24+24)/24, 0)</f>
        <v>0</v>
      </c>
      <c r="V111" s="1">
        <f>IF(H111*24&gt;Daten!$T$2*24+24,IF(H111*24&gt;Daten!$T$3*24+24,(Daten!$T$3*24+24)/24,H111),0)</f>
        <v>0</v>
      </c>
      <c r="W111" s="4">
        <f t="shared" si="28"/>
        <v>0</v>
      </c>
    </row>
    <row r="112" spans="1:23">
      <c r="B112" s="46">
        <f t="shared" si="23"/>
        <v>44578</v>
      </c>
      <c r="C112" s="5" t="str">
        <f t="shared" si="24"/>
        <v>44578 Dienst 7 Sa mR</v>
      </c>
      <c r="D112" s="100" t="s">
        <v>285</v>
      </c>
      <c r="E112" s="226"/>
      <c r="F112" s="5" t="str">
        <f t="shared" si="19"/>
        <v>Tour 7 Sa mR</v>
      </c>
      <c r="G112" s="102">
        <v>0.23611111111111113</v>
      </c>
      <c r="H112" s="102">
        <v>0.55486111111111114</v>
      </c>
      <c r="I112" s="1">
        <f t="shared" si="25"/>
        <v>0.31874999999999998</v>
      </c>
      <c r="J112" s="4">
        <f t="shared" si="26"/>
        <v>7.6499999999999995</v>
      </c>
      <c r="K112" s="118">
        <f>VLOOKUP(Dienste!C112,Regiezeiten!B:E,3,FALSE)</f>
        <v>6.9444444444444198E-3</v>
      </c>
      <c r="L112" s="118">
        <f>VLOOKUP(Dienste!C112,Regiezeiten!B:E,4,FALSE)</f>
        <v>3.5416666666666652E-2</v>
      </c>
      <c r="M112" s="1">
        <f t="shared" si="27"/>
        <v>4.2361111111111072E-2</v>
      </c>
      <c r="N112" s="118">
        <f>IF(VLOOKUP(C112,Pause!B:D,3,FALSE)&gt;Datenblatt!$B$12,Datenblatt!$B$12,VLOOKUP(C112,Pause!B:D,3,FALSE))</f>
        <v>4.7916666666666663E-2</v>
      </c>
      <c r="O112" s="1">
        <f t="shared" si="32"/>
        <v>0.27083333333333331</v>
      </c>
      <c r="P112" s="4">
        <f t="shared" si="33"/>
        <v>6.5</v>
      </c>
      <c r="Q112" s="5">
        <f t="shared" si="34"/>
        <v>7</v>
      </c>
      <c r="S112" s="1">
        <f>IF(G112&lt;Daten!$T$3,Dienste!G112,0)</f>
        <v>0</v>
      </c>
      <c r="T112" s="1">
        <f>IF(G112&lt;Daten!$T$3,IF(H112&gt;Daten!$T$3,Daten!$T$3,Dienste!H112),0)</f>
        <v>0</v>
      </c>
      <c r="U112" s="1">
        <f>IF(H112*24&gt;Daten!$T$2*24+24, (Daten!$T$2*24+24)/24, 0)</f>
        <v>0</v>
      </c>
      <c r="V112" s="1">
        <f>IF(H112*24&gt;Daten!$T$2*24+24,IF(H112*24&gt;Daten!$T$3*24+24,(Daten!$T$3*24+24)/24,H112),0)</f>
        <v>0</v>
      </c>
      <c r="W112" s="4">
        <f t="shared" si="28"/>
        <v>0</v>
      </c>
    </row>
    <row r="113" spans="2:33">
      <c r="B113" s="46">
        <f t="shared" si="23"/>
        <v>44578</v>
      </c>
      <c r="C113" s="5" t="str">
        <f t="shared" si="24"/>
        <v>44578 Dienst 8 Sa</v>
      </c>
      <c r="D113" s="100" t="s">
        <v>245</v>
      </c>
      <c r="E113" s="226"/>
      <c r="F113" s="5" t="str">
        <f t="shared" si="19"/>
        <v>Tour 8 Sa</v>
      </c>
      <c r="G113" s="102">
        <v>0.24722222222222223</v>
      </c>
      <c r="H113" s="102">
        <v>0.61944444444444446</v>
      </c>
      <c r="I113" s="1">
        <f t="shared" si="25"/>
        <v>0.37222222222222223</v>
      </c>
      <c r="J113" s="4">
        <f t="shared" si="26"/>
        <v>8.9333333333333336</v>
      </c>
      <c r="K113" s="118">
        <f>VLOOKUP(Dienste!C113,Regiezeiten!B:E,3,FALSE)</f>
        <v>6.9444444444444198E-3</v>
      </c>
      <c r="L113" s="118">
        <f>VLOOKUP(Dienste!C113,Regiezeiten!B:E,4,FALSE)</f>
        <v>0</v>
      </c>
      <c r="M113" s="1">
        <f t="shared" si="27"/>
        <v>6.9444444444444198E-3</v>
      </c>
      <c r="N113" s="118">
        <f>IF(VLOOKUP(C113,Pause!B:D,3,FALSE)&gt;Datenblatt!$B$12,Datenblatt!$B$12,VLOOKUP(C113,Pause!B:D,3,FALSE))</f>
        <v>4.3750000000000011E-2</v>
      </c>
      <c r="O113" s="1">
        <f t="shared" si="32"/>
        <v>0.32847222222222222</v>
      </c>
      <c r="P113" s="4">
        <f t="shared" si="33"/>
        <v>7.8833333333333329</v>
      </c>
      <c r="Q113" s="5">
        <f t="shared" si="34"/>
        <v>9</v>
      </c>
      <c r="S113" s="1">
        <f>IF(G113&lt;Daten!$T$3,Dienste!G113,0)</f>
        <v>0</v>
      </c>
      <c r="T113" s="1">
        <f>IF(G113&lt;Daten!$T$3,IF(H113&gt;Daten!$T$3,Daten!$T$3,Dienste!H113),0)</f>
        <v>0</v>
      </c>
      <c r="U113" s="1">
        <f>IF(H113*24&gt;Daten!$T$2*24+24, (Daten!$T$2*24+24)/24, 0)</f>
        <v>0</v>
      </c>
      <c r="V113" s="1">
        <f>IF(H113*24&gt;Daten!$T$2*24+24,IF(H113*24&gt;Daten!$T$3*24+24,(Daten!$T$3*24+24)/24,H113),0)</f>
        <v>0</v>
      </c>
      <c r="W113" s="4">
        <f t="shared" si="28"/>
        <v>0</v>
      </c>
    </row>
    <row r="114" spans="2:33">
      <c r="B114" s="46">
        <f t="shared" si="23"/>
        <v>44578</v>
      </c>
      <c r="C114" s="5" t="str">
        <f t="shared" si="24"/>
        <v>44578 Dienst 9 Sa</v>
      </c>
      <c r="D114" s="100" t="s">
        <v>286</v>
      </c>
      <c r="E114" s="226"/>
      <c r="F114" s="5" t="str">
        <f t="shared" si="19"/>
        <v>Tour 9 Sa</v>
      </c>
      <c r="G114" s="102">
        <v>0.2388888888888889</v>
      </c>
      <c r="H114" s="102">
        <v>0.56111111111111112</v>
      </c>
      <c r="I114" s="1">
        <f t="shared" si="25"/>
        <v>0.32222222222222219</v>
      </c>
      <c r="J114" s="4">
        <f t="shared" si="26"/>
        <v>7.7333333333333325</v>
      </c>
      <c r="K114" s="118">
        <f>VLOOKUP(Dienste!C114,Regiezeiten!B:E,3,FALSE)</f>
        <v>6.9444444444444475E-3</v>
      </c>
      <c r="L114" s="118">
        <f>VLOOKUP(Dienste!C114,Regiezeiten!B:E,4,FALSE)</f>
        <v>0</v>
      </c>
      <c r="M114" s="1">
        <f t="shared" si="27"/>
        <v>6.9444444444444475E-3</v>
      </c>
      <c r="N114" s="118">
        <f>IF(VLOOKUP(C114,Pause!B:D,3,FALSE)&gt;Datenblatt!$B$12,Datenblatt!$B$12,VLOOKUP(C114,Pause!B:D,3,FALSE))</f>
        <v>3.1250000000000056E-2</v>
      </c>
      <c r="O114" s="1">
        <f t="shared" si="32"/>
        <v>0.29097222222222213</v>
      </c>
      <c r="P114" s="4">
        <f t="shared" si="33"/>
        <v>6.9833333333333307</v>
      </c>
      <c r="Q114" s="5">
        <f t="shared" si="34"/>
        <v>8</v>
      </c>
      <c r="S114" s="1">
        <f>IF(G114&lt;Daten!$T$3,Dienste!G114,0)</f>
        <v>0</v>
      </c>
      <c r="T114" s="1">
        <f>IF(G114&lt;Daten!$T$3,IF(H114&gt;Daten!$T$3,Daten!$T$3,Dienste!H114),0)</f>
        <v>0</v>
      </c>
      <c r="U114" s="1">
        <f>IF(H114*24&gt;Daten!$T$2*24+24, (Daten!$T$2*24+24)/24, 0)</f>
        <v>0</v>
      </c>
      <c r="V114" s="1">
        <f>IF(H114*24&gt;Daten!$T$2*24+24,IF(H114*24&gt;Daten!$T$3*24+24,(Daten!$T$3*24+24)/24,H114),0)</f>
        <v>0</v>
      </c>
      <c r="W114" s="4">
        <f t="shared" si="28"/>
        <v>0</v>
      </c>
    </row>
    <row r="115" spans="2:33">
      <c r="B115" s="46">
        <f t="shared" si="23"/>
        <v>44578</v>
      </c>
      <c r="C115" s="5" t="str">
        <f t="shared" si="24"/>
        <v>44578 Dienst 10 Sa</v>
      </c>
      <c r="D115" s="100" t="s">
        <v>248</v>
      </c>
      <c r="E115" s="226"/>
      <c r="F115" s="5" t="str">
        <f t="shared" si="19"/>
        <v>Tour 10 Sa</v>
      </c>
      <c r="G115" s="102">
        <v>0.22638888888888889</v>
      </c>
      <c r="H115" s="102">
        <v>0.79027777777777775</v>
      </c>
      <c r="I115" s="1">
        <f t="shared" si="25"/>
        <v>0.56388888888888888</v>
      </c>
      <c r="J115" s="4">
        <f t="shared" si="26"/>
        <v>13.533333333333333</v>
      </c>
      <c r="K115" s="118">
        <f>VLOOKUP(Dienste!C115,Regiezeiten!B:E,3,FALSE)</f>
        <v>6.9444444444444198E-3</v>
      </c>
      <c r="L115" s="118">
        <f>VLOOKUP(Dienste!C115,Regiezeiten!B:E,4,FALSE)</f>
        <v>0</v>
      </c>
      <c r="M115" s="1">
        <f t="shared" si="27"/>
        <v>6.9444444444444198E-3</v>
      </c>
      <c r="N115" s="118">
        <f>IF(VLOOKUP(C115,Pause!B:D,3,FALSE)&gt;Datenblatt!$B$12,Datenblatt!$B$12,VLOOKUP(C115,Pause!B:D,3,FALSE))</f>
        <v>6.25E-2</v>
      </c>
      <c r="O115" s="1">
        <f t="shared" si="32"/>
        <v>0.50138888888888888</v>
      </c>
      <c r="P115" s="4">
        <f t="shared" si="33"/>
        <v>12.033333333333333</v>
      </c>
      <c r="Q115" s="5">
        <f t="shared" si="34"/>
        <v>12</v>
      </c>
      <c r="S115" s="1">
        <f>IF(G115&lt;Daten!$T$3,Dienste!G115,0)</f>
        <v>0</v>
      </c>
      <c r="T115" s="1">
        <f>IF(G115&lt;Daten!$T$3,IF(H115&gt;Daten!$T$3,Daten!$T$3,Dienste!H115),0)</f>
        <v>0</v>
      </c>
      <c r="U115" s="1">
        <f>IF(H115*24&gt;Daten!$T$2*24+24, (Daten!$T$2*24+24)/24, 0)</f>
        <v>0</v>
      </c>
      <c r="V115" s="1">
        <f>IF(H115*24&gt;Daten!$T$2*24+24,IF(H115*24&gt;Daten!$T$3*24+24,(Daten!$T$3*24+24)/24,H115),0)</f>
        <v>0</v>
      </c>
      <c r="W115" s="4">
        <f t="shared" si="28"/>
        <v>0</v>
      </c>
    </row>
    <row r="116" spans="2:33">
      <c r="B116" s="46">
        <f t="shared" si="23"/>
        <v>44578</v>
      </c>
      <c r="C116" s="5" t="str">
        <f t="shared" si="24"/>
        <v>44578 Dienst 11 Sa oR</v>
      </c>
      <c r="D116" s="100" t="s">
        <v>287</v>
      </c>
      <c r="E116" s="226"/>
      <c r="F116" s="5" t="str">
        <f t="shared" si="19"/>
        <v>Tour 11 Sa oR</v>
      </c>
      <c r="G116" s="102">
        <v>0.24722222222222223</v>
      </c>
      <c r="H116" s="102">
        <v>0.45694444444444443</v>
      </c>
      <c r="I116" s="1">
        <f t="shared" si="25"/>
        <v>0.2097222222222222</v>
      </c>
      <c r="J116" s="4">
        <f t="shared" si="26"/>
        <v>5.0333333333333332</v>
      </c>
      <c r="K116" s="118">
        <f>VLOOKUP(Dienste!C116,Regiezeiten!B:E,3,FALSE)</f>
        <v>6.9444444444444198E-3</v>
      </c>
      <c r="L116" s="118">
        <f>VLOOKUP(Dienste!C116,Regiezeiten!B:E,4,FALSE)</f>
        <v>0</v>
      </c>
      <c r="M116" s="1">
        <f t="shared" si="27"/>
        <v>6.9444444444444198E-3</v>
      </c>
      <c r="N116" s="118">
        <f>IF(VLOOKUP(C116,Pause!B:D,3,FALSE)&gt;Datenblatt!$B$12,Datenblatt!$B$12,VLOOKUP(C116,Pause!B:D,3,FALSE))</f>
        <v>0</v>
      </c>
      <c r="O116" s="1">
        <f t="shared" si="32"/>
        <v>0.27083333333333331</v>
      </c>
      <c r="P116" s="4">
        <f t="shared" si="33"/>
        <v>6.5</v>
      </c>
      <c r="Q116" s="5">
        <f t="shared" si="34"/>
        <v>5</v>
      </c>
      <c r="S116" s="1">
        <f>IF(G116&lt;Daten!$T$3,Dienste!G116,0)</f>
        <v>0</v>
      </c>
      <c r="T116" s="1">
        <f>IF(G116&lt;Daten!$T$3,IF(H116&gt;Daten!$T$3,Daten!$T$3,Dienste!H116),0)</f>
        <v>0</v>
      </c>
      <c r="U116" s="1">
        <f>IF(H116*24&gt;Daten!$T$2*24+24, (Daten!$T$2*24+24)/24, 0)</f>
        <v>0</v>
      </c>
      <c r="V116" s="1">
        <f>IF(H116*24&gt;Daten!$T$2*24+24,IF(H116*24&gt;Daten!$T$3*24+24,(Daten!$T$3*24+24)/24,H116),0)</f>
        <v>0</v>
      </c>
      <c r="W116" s="4">
        <f t="shared" si="28"/>
        <v>0</v>
      </c>
    </row>
    <row r="117" spans="2:33">
      <c r="B117" s="46">
        <f t="shared" si="23"/>
        <v>44578</v>
      </c>
      <c r="C117" s="5" t="str">
        <f t="shared" si="24"/>
        <v>44578 Dienst 11 Sa mR</v>
      </c>
      <c r="D117" s="100" t="s">
        <v>288</v>
      </c>
      <c r="E117" s="226"/>
      <c r="F117" s="5" t="str">
        <f t="shared" si="19"/>
        <v>Tour 11 Sa mR</v>
      </c>
      <c r="G117" s="102">
        <v>0.24722222222222223</v>
      </c>
      <c r="H117" s="102">
        <v>0.5180555555555556</v>
      </c>
      <c r="I117" s="1">
        <f t="shared" si="25"/>
        <v>0.27083333333333337</v>
      </c>
      <c r="J117" s="4">
        <f t="shared" si="26"/>
        <v>6.5000000000000009</v>
      </c>
      <c r="K117" s="118">
        <f>VLOOKUP(Dienste!C117,Regiezeiten!B:E,3,FALSE)</f>
        <v>6.9444444444444198E-3</v>
      </c>
      <c r="L117" s="118">
        <f>VLOOKUP(Dienste!C117,Regiezeiten!B:E,4,FALSE)</f>
        <v>6.1111111111111172E-2</v>
      </c>
      <c r="M117" s="1">
        <f t="shared" si="27"/>
        <v>6.8055555555555591E-2</v>
      </c>
      <c r="N117" s="118">
        <f>IF(VLOOKUP(C117,Pause!B:D,3,FALSE)&gt;Datenblatt!$B$12,Datenblatt!$B$12,VLOOKUP(C117,Pause!B:D,3,FALSE))</f>
        <v>0</v>
      </c>
      <c r="O117" s="1">
        <f t="shared" si="32"/>
        <v>0.27083333333333337</v>
      </c>
      <c r="P117" s="4">
        <f t="shared" si="33"/>
        <v>6.5000000000000009</v>
      </c>
      <c r="Q117" s="5">
        <f t="shared" si="34"/>
        <v>5</v>
      </c>
      <c r="S117" s="1">
        <f>IF(G117&lt;Daten!$T$3,Dienste!G117,0)</f>
        <v>0</v>
      </c>
      <c r="T117" s="1">
        <f>IF(G117&lt;Daten!$T$3,IF(H117&gt;Daten!$T$3,Daten!$T$3,Dienste!H117),0)</f>
        <v>0</v>
      </c>
      <c r="U117" s="1">
        <f>IF(H117*24&gt;Daten!$T$2*24+24, (Daten!$T$2*24+24)/24, 0)</f>
        <v>0</v>
      </c>
      <c r="V117" s="1">
        <f>IF(H117*24&gt;Daten!$T$2*24+24,IF(H117*24&gt;Daten!$T$3*24+24,(Daten!$T$3*24+24)/24,H117),0)</f>
        <v>0</v>
      </c>
      <c r="W117" s="4">
        <f t="shared" si="28"/>
        <v>0</v>
      </c>
    </row>
    <row r="118" spans="2:33">
      <c r="B118" s="46">
        <f t="shared" si="23"/>
        <v>44578</v>
      </c>
      <c r="C118" s="5" t="str">
        <f t="shared" si="24"/>
        <v>44578 Dienst 12 Sa</v>
      </c>
      <c r="D118" s="100" t="s">
        <v>250</v>
      </c>
      <c r="E118" s="226"/>
      <c r="F118" s="5" t="str">
        <f t="shared" si="19"/>
        <v>Tour 12 Sa</v>
      </c>
      <c r="G118" s="102">
        <v>0.24722222222222223</v>
      </c>
      <c r="H118" s="102">
        <v>0.79027777777777775</v>
      </c>
      <c r="I118" s="1">
        <f t="shared" si="25"/>
        <v>0.54305555555555551</v>
      </c>
      <c r="J118" s="4">
        <f t="shared" si="26"/>
        <v>13.033333333333331</v>
      </c>
      <c r="K118" s="118">
        <f>VLOOKUP(Dienste!C118,Regiezeiten!B:E,3,FALSE)</f>
        <v>6.9444444444444198E-3</v>
      </c>
      <c r="L118" s="118">
        <f>VLOOKUP(Dienste!C118,Regiezeiten!B:E,4,FALSE)</f>
        <v>0</v>
      </c>
      <c r="M118" s="1">
        <f t="shared" si="27"/>
        <v>6.9444444444444198E-3</v>
      </c>
      <c r="N118" s="118">
        <f>IF(VLOOKUP(C118,Pause!B:D,3,FALSE)&gt;Datenblatt!$B$12,Datenblatt!$B$12,VLOOKUP(C118,Pause!B:D,3,FALSE))</f>
        <v>6.25E-2</v>
      </c>
      <c r="O118" s="1">
        <f t="shared" si="32"/>
        <v>0.48055555555555551</v>
      </c>
      <c r="P118" s="4">
        <f t="shared" si="33"/>
        <v>11.533333333333331</v>
      </c>
      <c r="Q118" s="5">
        <f t="shared" si="34"/>
        <v>12</v>
      </c>
      <c r="S118" s="1">
        <f>IF(G118&lt;Daten!$T$3,Dienste!G118,0)</f>
        <v>0</v>
      </c>
      <c r="T118" s="1">
        <f>IF(G118&lt;Daten!$T$3,IF(H118&gt;Daten!$T$3,Daten!$T$3,Dienste!H118),0)</f>
        <v>0</v>
      </c>
      <c r="U118" s="1">
        <f>IF(H118*24&gt;Daten!$T$2*24+24, (Daten!$T$2*24+24)/24, 0)</f>
        <v>0</v>
      </c>
      <c r="V118" s="1">
        <f>IF(H118*24&gt;Daten!$T$2*24+24,IF(H118*24&gt;Daten!$T$3*24+24,(Daten!$T$3*24+24)/24,H118),0)</f>
        <v>0</v>
      </c>
      <c r="W118" s="4">
        <f t="shared" si="28"/>
        <v>0</v>
      </c>
    </row>
    <row r="119" spans="2:33">
      <c r="B119" s="46">
        <f t="shared" si="23"/>
        <v>44578</v>
      </c>
      <c r="C119" s="5" t="str">
        <f t="shared" si="24"/>
        <v>44578 Dienst 13 Sa</v>
      </c>
      <c r="D119" s="100" t="s">
        <v>251</v>
      </c>
      <c r="E119" s="226"/>
      <c r="F119" s="5" t="str">
        <f t="shared" si="19"/>
        <v>Tour 13 Sa</v>
      </c>
      <c r="G119" s="102">
        <v>0.33194444444444443</v>
      </c>
      <c r="H119" s="102">
        <v>0.9243055555555556</v>
      </c>
      <c r="I119" s="1">
        <f t="shared" si="25"/>
        <v>0.59236111111111112</v>
      </c>
      <c r="J119" s="4">
        <f t="shared" si="26"/>
        <v>14.216666666666667</v>
      </c>
      <c r="K119" s="118">
        <f>VLOOKUP(Dienste!C119,Regiezeiten!B:E,3,FALSE)</f>
        <v>0</v>
      </c>
      <c r="L119" s="118">
        <f>VLOOKUP(Dienste!C119,Regiezeiten!B:E,4,FALSE)</f>
        <v>1.0416666666666741E-2</v>
      </c>
      <c r="M119" s="1">
        <f t="shared" si="27"/>
        <v>1.0416666666666741E-2</v>
      </c>
      <c r="N119" s="118">
        <f>IF(VLOOKUP(C119,Pause!B:D,3,FALSE)&gt;Datenblatt!$B$12,Datenblatt!$B$12,VLOOKUP(C119,Pause!B:D,3,FALSE))</f>
        <v>6.25E-2</v>
      </c>
      <c r="O119" s="1">
        <f t="shared" si="32"/>
        <v>0.52986111111111112</v>
      </c>
      <c r="P119" s="4">
        <f t="shared" si="33"/>
        <v>12.716666666666667</v>
      </c>
      <c r="Q119" s="5">
        <f t="shared" si="34"/>
        <v>12</v>
      </c>
      <c r="S119" s="1">
        <f>IF(G119&lt;Daten!$T$3,Dienste!G119,0)</f>
        <v>0</v>
      </c>
      <c r="T119" s="1">
        <f>IF(G119&lt;Daten!$T$3,IF(H119&gt;Daten!$T$3,Daten!$T$3,Dienste!H119),0)</f>
        <v>0</v>
      </c>
      <c r="U119" s="1">
        <f>IF(H119*24&gt;Daten!$T$2*24+24, (Daten!$T$2*24+24)/24, 0)</f>
        <v>0</v>
      </c>
      <c r="V119" s="1">
        <f>IF(H119*24&gt;Daten!$T$2*24+24,IF(H119*24&gt;Daten!$T$3*24+24,(Daten!$T$3*24+24)/24,H119),0)</f>
        <v>0</v>
      </c>
      <c r="W119" s="4">
        <f t="shared" si="28"/>
        <v>0</v>
      </c>
    </row>
    <row r="120" spans="2:33">
      <c r="B120" s="46">
        <f t="shared" si="23"/>
        <v>44578</v>
      </c>
      <c r="C120" s="5" t="str">
        <f t="shared" si="24"/>
        <v>44578 Dienst 14 Sa</v>
      </c>
      <c r="D120" s="100" t="s">
        <v>252</v>
      </c>
      <c r="E120" s="226"/>
      <c r="F120" s="5" t="str">
        <f t="shared" si="19"/>
        <v>Tour 14 Sa</v>
      </c>
      <c r="G120" s="102">
        <v>0.39097222222222222</v>
      </c>
      <c r="H120" s="102">
        <v>0.95000000000000007</v>
      </c>
      <c r="I120" s="1">
        <f t="shared" si="25"/>
        <v>0.5590277777777779</v>
      </c>
      <c r="J120" s="4">
        <f t="shared" si="26"/>
        <v>13.41666666666667</v>
      </c>
      <c r="K120" s="118">
        <f>VLOOKUP(Dienste!C120,Regiezeiten!B:E,3,FALSE)</f>
        <v>0</v>
      </c>
      <c r="L120" s="118">
        <f>VLOOKUP(Dienste!C120,Regiezeiten!B:E,4,FALSE)</f>
        <v>1.0416666666666741E-2</v>
      </c>
      <c r="M120" s="1">
        <f t="shared" si="27"/>
        <v>1.0416666666666741E-2</v>
      </c>
      <c r="N120" s="118">
        <f>IF(VLOOKUP(C120,Pause!B:D,3,FALSE)&gt;Datenblatt!$B$12,Datenblatt!$B$12,VLOOKUP(C120,Pause!B:D,3,FALSE))</f>
        <v>6.25E-2</v>
      </c>
      <c r="O120" s="1">
        <f t="shared" si="32"/>
        <v>0.4965277777777779</v>
      </c>
      <c r="P120" s="4">
        <f t="shared" si="33"/>
        <v>11.91666666666667</v>
      </c>
      <c r="Q120" s="5">
        <f t="shared" si="34"/>
        <v>12</v>
      </c>
      <c r="S120" s="1">
        <f>IF(G120&lt;Daten!$T$3,Dienste!G120,0)</f>
        <v>0</v>
      </c>
      <c r="T120" s="1">
        <f>IF(G120&lt;Daten!$T$3,IF(H120&gt;Daten!$T$3,Daten!$T$3,Dienste!H120),0)</f>
        <v>0</v>
      </c>
      <c r="U120" s="1">
        <f>IF(H120*24&gt;Daten!$T$2*24+24, (Daten!$T$2*24+24)/24, 0)</f>
        <v>0</v>
      </c>
      <c r="V120" s="1">
        <f>IF(H120*24&gt;Daten!$T$2*24+24,IF(H120*24&gt;Daten!$T$3*24+24,(Daten!$T$3*24+24)/24,H120),0)</f>
        <v>0</v>
      </c>
      <c r="W120" s="4">
        <f t="shared" si="28"/>
        <v>0</v>
      </c>
      <c r="AD120" s="1"/>
    </row>
    <row r="121" spans="2:33">
      <c r="B121" s="46">
        <f t="shared" si="23"/>
        <v>44578</v>
      </c>
      <c r="C121" s="5" t="str">
        <f t="shared" si="24"/>
        <v>44578 Dienst 15 Sa</v>
      </c>
      <c r="D121" s="100" t="s">
        <v>253</v>
      </c>
      <c r="E121" s="226"/>
      <c r="F121" s="5" t="str">
        <f t="shared" si="19"/>
        <v>Tour 15 Sa</v>
      </c>
      <c r="G121" s="102">
        <v>0.60277777777777775</v>
      </c>
      <c r="H121" s="102">
        <v>0.96805555555555556</v>
      </c>
      <c r="I121" s="1">
        <f t="shared" si="25"/>
        <v>0.36527777777777781</v>
      </c>
      <c r="J121" s="4">
        <f t="shared" si="26"/>
        <v>8.7666666666666675</v>
      </c>
      <c r="K121" s="118">
        <f>VLOOKUP(Dienste!C121,Regiezeiten!B:E,3,FALSE)</f>
        <v>0</v>
      </c>
      <c r="L121" s="118">
        <f>VLOOKUP(Dienste!C121,Regiezeiten!B:E,4,FALSE)</f>
        <v>1.041666666666663E-2</v>
      </c>
      <c r="M121" s="1">
        <f t="shared" si="27"/>
        <v>1.041666666666663E-2</v>
      </c>
      <c r="N121" s="118">
        <f>IF(VLOOKUP(C121,Pause!B:D,3,FALSE)&gt;Datenblatt!$B$12,Datenblatt!$B$12,VLOOKUP(C121,Pause!B:D,3,FALSE))</f>
        <v>4.4444444444444509E-2</v>
      </c>
      <c r="O121" s="1">
        <f t="shared" si="32"/>
        <v>0.3208333333333333</v>
      </c>
      <c r="P121" s="4">
        <f t="shared" si="33"/>
        <v>7.6999999999999993</v>
      </c>
      <c r="Q121" s="5">
        <f t="shared" si="34"/>
        <v>9</v>
      </c>
      <c r="S121" s="1">
        <f>IF(G121&lt;Daten!$T$3,Dienste!G121,0)</f>
        <v>0</v>
      </c>
      <c r="T121" s="1">
        <f>IF(G121&lt;Daten!$T$3,IF(H121&gt;Daten!$T$3,Daten!$T$3,Dienste!H121),0)</f>
        <v>0</v>
      </c>
      <c r="U121" s="1">
        <f>IF(H121*24&gt;Daten!$T$2*24+24, (Daten!$T$2*24+24)/24, 0)</f>
        <v>0</v>
      </c>
      <c r="V121" s="1">
        <f>IF(H121*24&gt;Daten!$T$2*24+24,IF(H121*24&gt;Daten!$T$3*24+24,(Daten!$T$3*24+24)/24,H121),0)</f>
        <v>0</v>
      </c>
      <c r="W121" s="4">
        <f t="shared" si="28"/>
        <v>0</v>
      </c>
      <c r="AD121" s="1"/>
    </row>
    <row r="122" spans="2:33">
      <c r="B122" s="46">
        <f t="shared" si="23"/>
        <v>44578</v>
      </c>
      <c r="C122" s="5" t="str">
        <f t="shared" si="24"/>
        <v>44578 Dienst 16 Sa</v>
      </c>
      <c r="D122" s="100" t="s">
        <v>289</v>
      </c>
      <c r="E122" s="226"/>
      <c r="F122" s="5" t="str">
        <f t="shared" si="19"/>
        <v>Tour 16 Sa</v>
      </c>
      <c r="G122" s="102">
        <v>0.41805555555555557</v>
      </c>
      <c r="H122" s="102">
        <v>0.96250000000000002</v>
      </c>
      <c r="I122" s="1">
        <f t="shared" si="25"/>
        <v>0.54444444444444451</v>
      </c>
      <c r="J122" s="4">
        <f t="shared" si="26"/>
        <v>13.066666666666668</v>
      </c>
      <c r="K122" s="118">
        <f>VLOOKUP(Dienste!C122,Regiezeiten!B:E,3,FALSE)</f>
        <v>0</v>
      </c>
      <c r="L122" s="118">
        <f>VLOOKUP(Dienste!C122,Regiezeiten!B:E,4,FALSE)</f>
        <v>1.041666666666663E-2</v>
      </c>
      <c r="M122" s="1">
        <f t="shared" si="27"/>
        <v>1.041666666666663E-2</v>
      </c>
      <c r="N122" s="118">
        <f>IF(VLOOKUP(C122,Pause!B:D,3,FALSE)&gt;Datenblatt!$B$12,Datenblatt!$B$12,VLOOKUP(C122,Pause!B:D,3,FALSE))</f>
        <v>6.25E-2</v>
      </c>
      <c r="O122" s="1">
        <f t="shared" si="32"/>
        <v>0.48194444444444451</v>
      </c>
      <c r="P122" s="4">
        <f t="shared" si="33"/>
        <v>11.566666666666668</v>
      </c>
      <c r="Q122" s="5">
        <f t="shared" si="34"/>
        <v>12</v>
      </c>
      <c r="S122" s="1">
        <f>IF(G122&lt;Daten!$T$3,Dienste!G122,0)</f>
        <v>0</v>
      </c>
      <c r="T122" s="1">
        <f>IF(G122&lt;Daten!$T$3,IF(H122&gt;Daten!$T$3,Daten!$T$3,Dienste!H122),0)</f>
        <v>0</v>
      </c>
      <c r="U122" s="1">
        <f>IF(H122*24&gt;Daten!$T$2*24+24, (Daten!$T$2*24+24)/24, 0)</f>
        <v>0</v>
      </c>
      <c r="V122" s="1">
        <f>IF(H122*24&gt;Daten!$T$2*24+24,IF(H122*24&gt;Daten!$T$3*24+24,(Daten!$T$3*24+24)/24,H122),0)</f>
        <v>0</v>
      </c>
      <c r="W122" s="4">
        <f t="shared" si="28"/>
        <v>0</v>
      </c>
      <c r="AD122" s="1"/>
      <c r="AE122" s="1"/>
    </row>
    <row r="123" spans="2:33">
      <c r="B123" s="46">
        <f t="shared" si="23"/>
        <v>44578</v>
      </c>
      <c r="C123" s="5" t="str">
        <f t="shared" si="24"/>
        <v>44578 Dienst 17 Sa</v>
      </c>
      <c r="D123" s="100" t="s">
        <v>256</v>
      </c>
      <c r="E123" s="226"/>
      <c r="F123" s="5" t="str">
        <f t="shared" si="19"/>
        <v>Tour 17 Sa</v>
      </c>
      <c r="G123" s="102">
        <v>0.51944444444444449</v>
      </c>
      <c r="H123" s="102">
        <v>0.93611111111111101</v>
      </c>
      <c r="I123" s="1">
        <f t="shared" si="25"/>
        <v>0.41666666666666652</v>
      </c>
      <c r="J123" s="4">
        <f t="shared" si="26"/>
        <v>9.9999999999999964</v>
      </c>
      <c r="K123" s="118">
        <f>VLOOKUP(Dienste!C123,Regiezeiten!B:E,3,FALSE)</f>
        <v>0</v>
      </c>
      <c r="L123" s="118">
        <f>VLOOKUP(Dienste!C123,Regiezeiten!B:E,4,FALSE)</f>
        <v>1.041666666666663E-2</v>
      </c>
      <c r="M123" s="1">
        <f t="shared" si="27"/>
        <v>1.041666666666663E-2</v>
      </c>
      <c r="N123" s="118">
        <f>IF(VLOOKUP(C123,Pause!B:D,3,FALSE)&gt;Datenblatt!$B$12,Datenblatt!$B$12,VLOOKUP(C123,Pause!B:D,3,FALSE))</f>
        <v>6.25E-2</v>
      </c>
      <c r="O123" s="1">
        <f t="shared" si="32"/>
        <v>0.35416666666666652</v>
      </c>
      <c r="P123" s="4">
        <f t="shared" si="33"/>
        <v>8.4999999999999964</v>
      </c>
      <c r="Q123" s="5">
        <f t="shared" si="34"/>
        <v>10</v>
      </c>
      <c r="S123" s="1">
        <f>IF(G123&lt;Daten!$T$3,Dienste!G123,0)</f>
        <v>0</v>
      </c>
      <c r="T123" s="1">
        <f>IF(G123&lt;Daten!$T$3,IF(H123&gt;Daten!$T$3,Daten!$T$3,Dienste!H123),0)</f>
        <v>0</v>
      </c>
      <c r="U123" s="1">
        <f>IF(H123*24&gt;Daten!$T$2*24+24, (Daten!$T$2*24+24)/24, 0)</f>
        <v>0</v>
      </c>
      <c r="V123" s="1">
        <f>IF(H123*24&gt;Daten!$T$2*24+24,IF(H123*24&gt;Daten!$T$3*24+24,(Daten!$T$3*24+24)/24,H123),0)</f>
        <v>0</v>
      </c>
      <c r="W123" s="4">
        <f t="shared" si="28"/>
        <v>0</v>
      </c>
      <c r="AD123" s="1"/>
      <c r="AG123" s="1"/>
    </row>
    <row r="124" spans="2:33">
      <c r="B124" s="46">
        <f t="shared" si="23"/>
        <v>44578</v>
      </c>
      <c r="C124" s="5" t="str">
        <f t="shared" si="24"/>
        <v>44578 Dienst 18 Sa</v>
      </c>
      <c r="D124" s="100" t="s">
        <v>257</v>
      </c>
      <c r="E124" s="226"/>
      <c r="F124" s="5" t="str">
        <f t="shared" si="19"/>
        <v>Tour 18 Sa</v>
      </c>
      <c r="G124" s="102">
        <v>0.45347222222222222</v>
      </c>
      <c r="H124" s="102">
        <v>0.9291666666666667</v>
      </c>
      <c r="I124" s="1">
        <f t="shared" si="25"/>
        <v>0.47569444444444448</v>
      </c>
      <c r="J124" s="4">
        <f t="shared" si="26"/>
        <v>11.416666666666668</v>
      </c>
      <c r="K124" s="118">
        <f>VLOOKUP(Dienste!C124,Regiezeiten!B:E,3,FALSE)</f>
        <v>0</v>
      </c>
      <c r="L124" s="118">
        <f>VLOOKUP(Dienste!C124,Regiezeiten!B:E,4,FALSE)</f>
        <v>1.041666666666663E-2</v>
      </c>
      <c r="M124" s="1">
        <f t="shared" si="27"/>
        <v>1.041666666666663E-2</v>
      </c>
      <c r="N124" s="118">
        <f>IF(VLOOKUP(C124,Pause!B:D,3,FALSE)&gt;Datenblatt!$B$12,Datenblatt!$B$12,VLOOKUP(C124,Pause!B:D,3,FALSE))</f>
        <v>6.25E-2</v>
      </c>
      <c r="O124" s="1">
        <f t="shared" si="32"/>
        <v>0.41319444444444448</v>
      </c>
      <c r="P124" s="4">
        <f t="shared" si="33"/>
        <v>9.9166666666666679</v>
      </c>
      <c r="Q124" s="5">
        <f t="shared" si="34"/>
        <v>12</v>
      </c>
      <c r="S124" s="1">
        <f>IF(G124&lt;Daten!$T$3,Dienste!G124,0)</f>
        <v>0</v>
      </c>
      <c r="T124" s="1">
        <f>IF(G124&lt;Daten!$T$3,IF(H124&gt;Daten!$T$3,Daten!$T$3,Dienste!H124),0)</f>
        <v>0</v>
      </c>
      <c r="U124" s="1">
        <f>IF(H124*24&gt;Daten!$T$2*24+24, (Daten!$T$2*24+24)/24, 0)</f>
        <v>0</v>
      </c>
      <c r="V124" s="1">
        <f>IF(H124*24&gt;Daten!$T$2*24+24,IF(H124*24&gt;Daten!$T$3*24+24,(Daten!$T$3*24+24)/24,H124),0)</f>
        <v>0</v>
      </c>
      <c r="W124" s="4">
        <f t="shared" si="28"/>
        <v>0</v>
      </c>
      <c r="AD124" s="1"/>
      <c r="AE124" s="1"/>
      <c r="AF124" s="1"/>
    </row>
    <row r="125" spans="2:33">
      <c r="B125" s="46">
        <f t="shared" si="23"/>
        <v>44578</v>
      </c>
      <c r="C125" s="5" t="str">
        <f t="shared" si="24"/>
        <v>44578 Dienst 19 Sa</v>
      </c>
      <c r="D125" s="100" t="s">
        <v>258</v>
      </c>
      <c r="E125" s="226"/>
      <c r="F125" s="5" t="str">
        <f t="shared" si="19"/>
        <v>Tour 19 Sa</v>
      </c>
      <c r="G125" s="102">
        <v>0.4152777777777778</v>
      </c>
      <c r="H125" s="102">
        <v>0.9458333333333333</v>
      </c>
      <c r="I125" s="1">
        <f t="shared" si="25"/>
        <v>0.53055555555555545</v>
      </c>
      <c r="J125" s="4">
        <f t="shared" si="26"/>
        <v>12.733333333333331</v>
      </c>
      <c r="K125" s="118">
        <f>VLOOKUP(Dienste!C125,Regiezeiten!B:E,3,FALSE)</f>
        <v>0</v>
      </c>
      <c r="L125" s="118">
        <f>VLOOKUP(Dienste!C125,Regiezeiten!B:E,4,FALSE)</f>
        <v>1.041666666666663E-2</v>
      </c>
      <c r="M125" s="1">
        <f t="shared" si="27"/>
        <v>1.041666666666663E-2</v>
      </c>
      <c r="N125" s="118">
        <f>IF(VLOOKUP(C125,Pause!B:D,3,FALSE)&gt;Datenblatt!$B$12,Datenblatt!$B$12,VLOOKUP(C125,Pause!B:D,3,FALSE))</f>
        <v>6.25E-2</v>
      </c>
      <c r="O125" s="1">
        <f t="shared" si="32"/>
        <v>0.46805555555555545</v>
      </c>
      <c r="P125" s="4">
        <f t="shared" si="33"/>
        <v>11.233333333333331</v>
      </c>
      <c r="Q125" s="5">
        <f t="shared" si="34"/>
        <v>12</v>
      </c>
      <c r="S125" s="1">
        <f>IF(G125&lt;Daten!$T$3,Dienste!G125,0)</f>
        <v>0</v>
      </c>
      <c r="T125" s="1">
        <f>IF(G125&lt;Daten!$T$3,IF(H125&gt;Daten!$T$3,Daten!$T$3,Dienste!H125),0)</f>
        <v>0</v>
      </c>
      <c r="U125" s="1">
        <f>IF(H125*24&gt;Daten!$T$2*24+24, (Daten!$T$2*24+24)/24, 0)</f>
        <v>0</v>
      </c>
      <c r="V125" s="1">
        <f>IF(H125*24&gt;Daten!$T$2*24+24,IF(H125*24&gt;Daten!$T$3*24+24,(Daten!$T$3*24+24)/24,H125),0)</f>
        <v>0</v>
      </c>
      <c r="W125" s="4">
        <f t="shared" si="28"/>
        <v>0</v>
      </c>
      <c r="AF125" s="1"/>
    </row>
    <row r="126" spans="2:33">
      <c r="B126" s="46">
        <f t="shared" si="23"/>
        <v>44578</v>
      </c>
      <c r="C126" s="5" t="str">
        <f t="shared" si="24"/>
        <v>44578 Dienst 20 Sa oR</v>
      </c>
      <c r="D126" s="100" t="s">
        <v>290</v>
      </c>
      <c r="E126" s="226"/>
      <c r="F126" s="5" t="str">
        <f t="shared" si="19"/>
        <v>Tour 20 Sa oR</v>
      </c>
      <c r="G126" s="102">
        <v>0.64722222222222225</v>
      </c>
      <c r="H126" s="102">
        <v>0.94791666666666663</v>
      </c>
      <c r="I126" s="1">
        <f t="shared" si="25"/>
        <v>0.30069444444444438</v>
      </c>
      <c r="J126" s="4">
        <f t="shared" si="26"/>
        <v>7.216666666666665</v>
      </c>
      <c r="K126" s="118">
        <f>VLOOKUP(Dienste!C126,Regiezeiten!B:E,3,FALSE)</f>
        <v>0</v>
      </c>
      <c r="L126" s="118">
        <f>VLOOKUP(Dienste!C126,Regiezeiten!B:E,4,FALSE)</f>
        <v>1.041666666666663E-2</v>
      </c>
      <c r="M126" s="1">
        <f t="shared" si="27"/>
        <v>1.041666666666663E-2</v>
      </c>
      <c r="N126" s="118">
        <f>IF(VLOOKUP(C126,Pause!B:D,3,FALSE)&gt;Datenblatt!$B$12,Datenblatt!$B$12,VLOOKUP(C126,Pause!B:D,3,FALSE))</f>
        <v>3.1944444444444442E-2</v>
      </c>
      <c r="O126" s="1">
        <f t="shared" si="32"/>
        <v>0.27083333333333331</v>
      </c>
      <c r="P126" s="4">
        <f t="shared" si="33"/>
        <v>6.5</v>
      </c>
      <c r="Q126" s="5">
        <f t="shared" si="34"/>
        <v>7</v>
      </c>
      <c r="S126" s="1">
        <f>IF(G126&lt;Daten!$T$3,Dienste!G126,0)</f>
        <v>0</v>
      </c>
      <c r="T126" s="1">
        <f>IF(G126&lt;Daten!$T$3,IF(H126&gt;Daten!$T$3,Daten!$T$3,Dienste!H126),0)</f>
        <v>0</v>
      </c>
      <c r="U126" s="1">
        <f>IF(H126*24&gt;Daten!$T$2*24+24, (Daten!$T$2*24+24)/24, 0)</f>
        <v>0</v>
      </c>
      <c r="V126" s="1">
        <f>IF(H126*24&gt;Daten!$T$2*24+24,IF(H126*24&gt;Daten!$T$3*24+24,(Daten!$T$3*24+24)/24,H126),0)</f>
        <v>0</v>
      </c>
      <c r="W126" s="4">
        <f t="shared" si="28"/>
        <v>0</v>
      </c>
      <c r="AF126" s="1"/>
    </row>
    <row r="127" spans="2:33">
      <c r="B127" s="46">
        <f t="shared" si="23"/>
        <v>44578</v>
      </c>
      <c r="C127" s="5" t="str">
        <f t="shared" si="24"/>
        <v>44578 Dienst 20 Sa mR</v>
      </c>
      <c r="D127" s="100" t="s">
        <v>291</v>
      </c>
      <c r="E127" s="226"/>
      <c r="F127" s="5" t="str">
        <f t="shared" si="19"/>
        <v>Tour 20 Sa mR</v>
      </c>
      <c r="G127" s="102">
        <v>0.63541666666666663</v>
      </c>
      <c r="H127" s="102">
        <v>0.94791666666666663</v>
      </c>
      <c r="I127" s="1">
        <f t="shared" si="25"/>
        <v>0.3125</v>
      </c>
      <c r="J127" s="4">
        <f t="shared" si="26"/>
        <v>7.5</v>
      </c>
      <c r="K127" s="118">
        <f>VLOOKUP(Dienste!C127,Regiezeiten!B:E,3,FALSE)</f>
        <v>1.1805555555555625E-2</v>
      </c>
      <c r="L127" s="118">
        <f>VLOOKUP(Dienste!C127,Regiezeiten!B:E,4,FALSE)</f>
        <v>1.041666666666663E-2</v>
      </c>
      <c r="M127" s="1">
        <f t="shared" si="27"/>
        <v>2.2222222222222254E-2</v>
      </c>
      <c r="N127" s="118">
        <f>IF(VLOOKUP(C127,Pause!B:D,3,FALSE)&gt;Datenblatt!$B$12,Datenblatt!$B$12,VLOOKUP(C127,Pause!B:D,3,FALSE))</f>
        <v>3.1944444444444442E-2</v>
      </c>
      <c r="O127" s="1">
        <f t="shared" si="32"/>
        <v>0.28055555555555556</v>
      </c>
      <c r="P127" s="4">
        <f t="shared" si="33"/>
        <v>6.7333333333333334</v>
      </c>
      <c r="Q127" s="5">
        <f t="shared" si="34"/>
        <v>7</v>
      </c>
      <c r="S127" s="1">
        <f>IF(G127&lt;Daten!$T$3,Dienste!G127,0)</f>
        <v>0</v>
      </c>
      <c r="T127" s="1">
        <f>IF(G127&lt;Daten!$T$3,IF(H127&gt;Daten!$T$3,Daten!$T$3,Dienste!H127),0)</f>
        <v>0</v>
      </c>
      <c r="U127" s="1">
        <f>IF(H127*24&gt;Daten!$T$2*24+24, (Daten!$T$2*24+24)/24, 0)</f>
        <v>0</v>
      </c>
      <c r="V127" s="1">
        <f>IF(H127*24&gt;Daten!$T$2*24+24,IF(H127*24&gt;Daten!$T$3*24+24,(Daten!$T$3*24+24)/24,H127),0)</f>
        <v>0</v>
      </c>
      <c r="W127" s="4">
        <f t="shared" si="28"/>
        <v>0</v>
      </c>
    </row>
    <row r="128" spans="2:33">
      <c r="B128" s="46">
        <f t="shared" si="23"/>
        <v>44578</v>
      </c>
      <c r="C128" s="5" t="str">
        <f t="shared" si="24"/>
        <v>44578 Dienst 21 Sa</v>
      </c>
      <c r="D128" s="100" t="s">
        <v>260</v>
      </c>
      <c r="E128" s="226"/>
      <c r="F128" s="5" t="str">
        <f t="shared" si="19"/>
        <v>Tour 21 Sa</v>
      </c>
      <c r="G128" s="102">
        <v>0.66180555555555554</v>
      </c>
      <c r="H128" s="102">
        <v>0.94236111111111109</v>
      </c>
      <c r="I128" s="1">
        <f t="shared" si="25"/>
        <v>0.28055555555555556</v>
      </c>
      <c r="J128" s="4">
        <f t="shared" si="26"/>
        <v>6.7333333333333334</v>
      </c>
      <c r="K128" s="118">
        <f>VLOOKUP(Dienste!C128,Regiezeiten!B:E,3,FALSE)</f>
        <v>0</v>
      </c>
      <c r="L128" s="118">
        <f>VLOOKUP(Dienste!C128,Regiezeiten!B:E,4,FALSE)</f>
        <v>1.041666666666663E-2</v>
      </c>
      <c r="M128" s="1">
        <f t="shared" si="27"/>
        <v>1.041666666666663E-2</v>
      </c>
      <c r="N128" s="118">
        <f>IF(VLOOKUP(C128,Pause!B:D,3,FALSE)&gt;Datenblatt!$B$12,Datenblatt!$B$12,VLOOKUP(C128,Pause!B:D,3,FALSE))</f>
        <v>3.9583333333333304E-2</v>
      </c>
      <c r="O128" s="1">
        <f t="shared" si="32"/>
        <v>0.27083333333333331</v>
      </c>
      <c r="P128" s="4">
        <f t="shared" si="33"/>
        <v>6.5</v>
      </c>
      <c r="Q128" s="5">
        <f t="shared" si="34"/>
        <v>7</v>
      </c>
      <c r="S128" s="1">
        <f>IF(G128&lt;Daten!$T$3,Dienste!G128,0)</f>
        <v>0</v>
      </c>
      <c r="T128" s="1">
        <f>IF(G128&lt;Daten!$T$3,IF(H128&gt;Daten!$T$3,Daten!$T$3,Dienste!H128),0)</f>
        <v>0</v>
      </c>
      <c r="U128" s="1">
        <f>IF(H128*24&gt;Daten!$T$2*24+24, (Daten!$T$2*24+24)/24, 0)</f>
        <v>0</v>
      </c>
      <c r="V128" s="1">
        <f>IF(H128*24&gt;Daten!$T$2*24+24,IF(H128*24&gt;Daten!$T$3*24+24,(Daten!$T$3*24+24)/24,H128),0)</f>
        <v>0</v>
      </c>
      <c r="W128" s="4">
        <f t="shared" si="28"/>
        <v>0</v>
      </c>
    </row>
    <row r="129" spans="2:30">
      <c r="B129" s="46">
        <f t="shared" si="23"/>
        <v>44578</v>
      </c>
      <c r="C129" s="5" t="str">
        <f t="shared" si="24"/>
        <v>44578 Dienst 22 Sa</v>
      </c>
      <c r="D129" s="100" t="s">
        <v>261</v>
      </c>
      <c r="E129" s="226"/>
      <c r="F129" s="5" t="str">
        <f t="shared" si="19"/>
        <v>Tour 22 Sa</v>
      </c>
      <c r="G129" s="102">
        <v>0.56111111111111112</v>
      </c>
      <c r="H129" s="102">
        <v>0.94513888888888886</v>
      </c>
      <c r="I129" s="1">
        <f t="shared" si="25"/>
        <v>0.38402777777777775</v>
      </c>
      <c r="J129" s="4">
        <f t="shared" si="26"/>
        <v>9.216666666666665</v>
      </c>
      <c r="K129" s="118">
        <f>VLOOKUP(Dienste!C129,Regiezeiten!B:E,3,FALSE)</f>
        <v>0</v>
      </c>
      <c r="L129" s="118">
        <f>VLOOKUP(Dienste!C129,Regiezeiten!B:E,4,FALSE)</f>
        <v>1.041666666666663E-2</v>
      </c>
      <c r="M129" s="1">
        <f t="shared" si="27"/>
        <v>1.041666666666663E-2</v>
      </c>
      <c r="N129" s="118">
        <f>IF(VLOOKUP(C129,Pause!B:D,3,FALSE)&gt;Datenblatt!$B$12,Datenblatt!$B$12,VLOOKUP(C129,Pause!B:D,3,FALSE))</f>
        <v>6.25E-2</v>
      </c>
      <c r="O129" s="1">
        <f t="shared" si="32"/>
        <v>0.32152777777777775</v>
      </c>
      <c r="P129" s="4">
        <f t="shared" si="33"/>
        <v>7.7166666666666659</v>
      </c>
      <c r="Q129" s="5">
        <f t="shared" si="34"/>
        <v>9</v>
      </c>
      <c r="S129" s="1">
        <f>IF(G129&lt;Daten!$T$3,Dienste!G129,0)</f>
        <v>0</v>
      </c>
      <c r="T129" s="1">
        <f>IF(G129&lt;Daten!$T$3,IF(H129&gt;Daten!$T$3,Daten!$T$3,Dienste!H129),0)</f>
        <v>0</v>
      </c>
      <c r="U129" s="1">
        <f>IF(H129*24&gt;Daten!$T$2*24+24, (Daten!$T$2*24+24)/24, 0)</f>
        <v>0</v>
      </c>
      <c r="V129" s="1">
        <f>IF(H129*24&gt;Daten!$T$2*24+24,IF(H129*24&gt;Daten!$T$3*24+24,(Daten!$T$3*24+24)/24,H129),0)</f>
        <v>0</v>
      </c>
      <c r="W129" s="4">
        <f t="shared" si="28"/>
        <v>0</v>
      </c>
    </row>
    <row r="130" spans="2:30">
      <c r="B130" s="46">
        <f t="shared" si="23"/>
        <v>44578</v>
      </c>
      <c r="C130" s="5" t="str">
        <f t="shared" si="24"/>
        <v>44578 Dienst 23 Sa oR</v>
      </c>
      <c r="D130" s="100" t="s">
        <v>263</v>
      </c>
      <c r="E130" s="226"/>
      <c r="F130" s="5" t="str">
        <f t="shared" si="19"/>
        <v>Tour 23 Sa oR</v>
      </c>
      <c r="G130" s="102">
        <v>0.68888888888888899</v>
      </c>
      <c r="H130" s="102">
        <v>0.97361111111111109</v>
      </c>
      <c r="I130" s="1">
        <f t="shared" si="25"/>
        <v>0.2847222222222221</v>
      </c>
      <c r="J130" s="4">
        <f t="shared" si="26"/>
        <v>6.8333333333333304</v>
      </c>
      <c r="K130" s="118">
        <f>VLOOKUP(Dienste!C130,Regiezeiten!B:E,3,FALSE)</f>
        <v>0</v>
      </c>
      <c r="L130" s="118">
        <f>VLOOKUP(Dienste!C130,Regiezeiten!B:E,4,FALSE)</f>
        <v>1.041666666666663E-2</v>
      </c>
      <c r="M130" s="1">
        <f t="shared" si="27"/>
        <v>1.041666666666663E-2</v>
      </c>
      <c r="N130" s="118">
        <f>IF(VLOOKUP(C130,Pause!B:D,3,FALSE)&gt;Datenblatt!$B$12,Datenblatt!$B$12,VLOOKUP(C130,Pause!B:D,3,FALSE))</f>
        <v>4.513888888888884E-2</v>
      </c>
      <c r="O130" s="1">
        <f t="shared" si="32"/>
        <v>0.27083333333333331</v>
      </c>
      <c r="P130" s="4">
        <f t="shared" si="33"/>
        <v>6.5</v>
      </c>
      <c r="Q130" s="5">
        <f t="shared" si="34"/>
        <v>7</v>
      </c>
      <c r="S130" s="1">
        <f>IF(G130&lt;Daten!$T$3,Dienste!G130,0)</f>
        <v>0</v>
      </c>
      <c r="T130" s="1">
        <f>IF(G130&lt;Daten!$T$3,IF(H130&gt;Daten!$T$3,Daten!$T$3,Dienste!H130),0)</f>
        <v>0</v>
      </c>
      <c r="U130" s="1">
        <f>IF(H130*24&gt;Daten!$T$2*24+24, (Daten!$T$2*24+24)/24, 0)</f>
        <v>0</v>
      </c>
      <c r="V130" s="1">
        <f>IF(H130*24&gt;Daten!$T$2*24+24,IF(H130*24&gt;Daten!$T$3*24+24,(Daten!$T$3*24+24)/24,H130),0)</f>
        <v>0</v>
      </c>
      <c r="W130" s="4">
        <f t="shared" si="28"/>
        <v>0</v>
      </c>
    </row>
    <row r="131" spans="2:30">
      <c r="B131" s="46">
        <f t="shared" si="23"/>
        <v>44578</v>
      </c>
      <c r="C131" s="5" t="str">
        <f t="shared" si="24"/>
        <v>44578 Dienst 23 Sa mR</v>
      </c>
      <c r="D131" s="100" t="s">
        <v>262</v>
      </c>
      <c r="E131" s="226"/>
      <c r="F131" s="5" t="str">
        <f t="shared" si="19"/>
        <v>Tour 23 Sa mR</v>
      </c>
      <c r="G131" s="102">
        <v>0.65763888888888888</v>
      </c>
      <c r="H131" s="102">
        <v>0.97361111111111109</v>
      </c>
      <c r="I131" s="1">
        <f t="shared" si="25"/>
        <v>0.31597222222222221</v>
      </c>
      <c r="J131" s="4">
        <f t="shared" si="26"/>
        <v>7.583333333333333</v>
      </c>
      <c r="K131" s="118">
        <f>VLOOKUP(Dienste!C131,Regiezeiten!B:E,3,FALSE)</f>
        <v>3.1250000000000111E-2</v>
      </c>
      <c r="L131" s="118">
        <f>VLOOKUP(Dienste!C131,Regiezeiten!B:E,4,FALSE)</f>
        <v>1.041666666666663E-2</v>
      </c>
      <c r="M131" s="1">
        <f t="shared" si="27"/>
        <v>4.1666666666666741E-2</v>
      </c>
      <c r="N131" s="118">
        <f>IF(VLOOKUP(C131,Pause!B:D,3,FALSE)&gt;Datenblatt!$B$12,Datenblatt!$B$12,VLOOKUP(C131,Pause!B:D,3,FALSE))</f>
        <v>4.513888888888884E-2</v>
      </c>
      <c r="O131" s="1">
        <f t="shared" si="32"/>
        <v>0.27083333333333337</v>
      </c>
      <c r="P131" s="4">
        <f t="shared" si="33"/>
        <v>6.5000000000000009</v>
      </c>
      <c r="Q131" s="5">
        <f t="shared" si="34"/>
        <v>7</v>
      </c>
      <c r="S131" s="1">
        <f>IF(G131&lt;Daten!$T$3,Dienste!G131,0)</f>
        <v>0</v>
      </c>
      <c r="T131" s="1">
        <f>IF(G131&lt;Daten!$T$3,IF(H131&gt;Daten!$T$3,Daten!$T$3,Dienste!H131),0)</f>
        <v>0</v>
      </c>
      <c r="U131" s="1">
        <f>IF(H131*24&gt;Daten!$T$2*24+24, (Daten!$T$2*24+24)/24, 0)</f>
        <v>0</v>
      </c>
      <c r="V131" s="1">
        <f>IF(H131*24&gt;Daten!$T$2*24+24,IF(H131*24&gt;Daten!$T$3*24+24,(Daten!$T$3*24+24)/24,H131),0)</f>
        <v>0</v>
      </c>
      <c r="W131" s="4">
        <f t="shared" si="28"/>
        <v>0</v>
      </c>
      <c r="AD131" s="1"/>
    </row>
    <row r="132" spans="2:30">
      <c r="B132" s="46">
        <f t="shared" si="23"/>
        <v>44578</v>
      </c>
      <c r="C132" s="5" t="str">
        <f t="shared" si="24"/>
        <v>44578 Dienst 24 Sa</v>
      </c>
      <c r="D132" s="100" t="s">
        <v>292</v>
      </c>
      <c r="E132" s="226"/>
      <c r="F132" s="5" t="str">
        <f t="shared" si="19"/>
        <v>Tour 24 Sa</v>
      </c>
      <c r="G132" s="102">
        <v>0.37361111111111112</v>
      </c>
      <c r="H132" s="102">
        <v>0.96319444444444446</v>
      </c>
      <c r="I132" s="1">
        <f t="shared" ref="I132:I142" si="35">H132-G132</f>
        <v>0.58958333333333335</v>
      </c>
      <c r="J132" s="4">
        <f t="shared" si="26"/>
        <v>14.15</v>
      </c>
      <c r="K132" s="118">
        <f>VLOOKUP(Dienste!C132,Regiezeiten!B:E,3,FALSE)</f>
        <v>0</v>
      </c>
      <c r="L132" s="118">
        <f>VLOOKUP(Dienste!C132,Regiezeiten!B:E,4,FALSE)</f>
        <v>1.041666666666663E-2</v>
      </c>
      <c r="M132" s="1">
        <f t="shared" si="27"/>
        <v>1.041666666666663E-2</v>
      </c>
      <c r="N132" s="118">
        <f>IF(VLOOKUP(C132,Pause!B:D,3,FALSE)&gt;Datenblatt!$B$12,Datenblatt!$B$12,VLOOKUP(C132,Pause!B:D,3,FALSE))</f>
        <v>6.25E-2</v>
      </c>
      <c r="O132" s="1">
        <f t="shared" si="32"/>
        <v>0.52708333333333335</v>
      </c>
      <c r="P132" s="4">
        <f t="shared" si="33"/>
        <v>12.65</v>
      </c>
      <c r="Q132" s="5">
        <f t="shared" si="34"/>
        <v>12</v>
      </c>
      <c r="S132" s="1">
        <f>IF(G132&lt;Daten!$T$3,Dienste!G132,0)</f>
        <v>0</v>
      </c>
      <c r="T132" s="1">
        <f>IF(G132&lt;Daten!$T$3,IF(H132&gt;Daten!$T$3,Daten!$T$3,Dienste!H132),0)</f>
        <v>0</v>
      </c>
      <c r="U132" s="1">
        <f>IF(H132*24&gt;Daten!$T$2*24+24, (Daten!$T$2*24+24)/24, 0)</f>
        <v>0</v>
      </c>
      <c r="V132" s="1">
        <f>IF(H132*24&gt;Daten!$T$2*24+24,IF(H132*24&gt;Daten!$T$3*24+24,(Daten!$T$3*24+24)/24,H132),0)</f>
        <v>0</v>
      </c>
      <c r="W132" s="4">
        <f t="shared" si="28"/>
        <v>0</v>
      </c>
    </row>
    <row r="133" spans="2:30">
      <c r="B133" s="46">
        <f t="shared" si="23"/>
        <v>44578</v>
      </c>
      <c r="C133" s="5" t="str">
        <f t="shared" si="24"/>
        <v>44578 Dienst 1 SoF</v>
      </c>
      <c r="D133" s="100" t="s">
        <v>269</v>
      </c>
      <c r="E133" s="226" t="s">
        <v>4</v>
      </c>
      <c r="F133" s="5" t="str">
        <f t="shared" si="19"/>
        <v>Tour 1 SoF</v>
      </c>
      <c r="G133" s="102">
        <v>0.28055555555555556</v>
      </c>
      <c r="H133" s="102">
        <v>0.88888888888888884</v>
      </c>
      <c r="I133" s="1">
        <f t="shared" si="35"/>
        <v>0.60833333333333328</v>
      </c>
      <c r="J133" s="4">
        <f t="shared" si="26"/>
        <v>14.599999999999998</v>
      </c>
      <c r="K133" s="118">
        <f>VLOOKUP(Dienste!C133,Regiezeiten!B:E,3,FALSE)</f>
        <v>6.9444444444444753E-3</v>
      </c>
      <c r="L133" s="118">
        <f>VLOOKUP(Dienste!C133,Regiezeiten!B:E,4,FALSE)</f>
        <v>1.041666666666663E-2</v>
      </c>
      <c r="M133" s="1">
        <f t="shared" si="27"/>
        <v>1.7361111111111105E-2</v>
      </c>
      <c r="N133" s="118">
        <f>IF(VLOOKUP(C133,Pause!B:D,3,FALSE)&gt;Datenblatt!$B$12,Datenblatt!$B$12,VLOOKUP(C133,Pause!B:D,3,FALSE))</f>
        <v>6.25E-2</v>
      </c>
      <c r="O133" s="1">
        <f t="shared" si="32"/>
        <v>0.54583333333333328</v>
      </c>
      <c r="P133" s="4">
        <f t="shared" si="33"/>
        <v>13.099999999999998</v>
      </c>
      <c r="Q133" s="5">
        <f t="shared" si="34"/>
        <v>12</v>
      </c>
      <c r="S133" s="1">
        <f>IF(G133&lt;Daten!$T$3,Dienste!G133,0)</f>
        <v>0</v>
      </c>
      <c r="T133" s="1">
        <f>IF(G133&lt;Daten!$T$3,IF(H133&gt;Daten!$T$3,Daten!$T$3,Dienste!H133),0)</f>
        <v>0</v>
      </c>
      <c r="U133" s="1">
        <f>IF(H133*24&gt;Daten!$T$2*24+24, (Daten!$T$2*24+24)/24, 0)</f>
        <v>0</v>
      </c>
      <c r="V133" s="1">
        <f>IF(H133*24&gt;Daten!$T$2*24+24,IF(H133*24&gt;Daten!$T$3*24+24,(Daten!$T$3*24+24)/24,H133),0)</f>
        <v>0</v>
      </c>
      <c r="W133" s="4">
        <f t="shared" si="28"/>
        <v>0</v>
      </c>
    </row>
    <row r="134" spans="2:30">
      <c r="B134" s="46">
        <f t="shared" si="23"/>
        <v>44578</v>
      </c>
      <c r="C134" s="5" t="str">
        <f t="shared" si="24"/>
        <v>44578 Dienst 2 SoF</v>
      </c>
      <c r="D134" s="100" t="s">
        <v>270</v>
      </c>
      <c r="E134" s="226"/>
      <c r="F134" s="5" t="str">
        <f t="shared" ref="F134:F142" si="36">CONCATENATE("Tour",RIGHT(D134,LEN(D134)-6))</f>
        <v>Tour 2 SoF</v>
      </c>
      <c r="G134" s="102">
        <v>0.30486111111111108</v>
      </c>
      <c r="H134" s="102">
        <v>0.76874999999999993</v>
      </c>
      <c r="I134" s="1">
        <f t="shared" si="35"/>
        <v>0.46388888888888885</v>
      </c>
      <c r="J134" s="4">
        <f t="shared" si="26"/>
        <v>11.133333333333333</v>
      </c>
      <c r="K134" s="118">
        <f>VLOOKUP(Dienste!C134,Regiezeiten!B:E,3,FALSE)</f>
        <v>6.9444444444444753E-3</v>
      </c>
      <c r="L134" s="118">
        <f>VLOOKUP(Dienste!C134,Regiezeiten!B:E,4,FALSE)</f>
        <v>0</v>
      </c>
      <c r="M134" s="1">
        <f t="shared" ref="M134:M142" si="37">L134+K134</f>
        <v>6.9444444444444753E-3</v>
      </c>
      <c r="N134" s="118">
        <f>IF(VLOOKUP(C134,Pause!B:D,3,FALSE)&gt;Datenblatt!$B$12,Datenblatt!$B$12,VLOOKUP(C134,Pause!B:D,3,FALSE))</f>
        <v>5.0694444444444431E-2</v>
      </c>
      <c r="O134" s="1">
        <f t="shared" ref="O134:O142" si="38">IF((H134-G134-N134)*24&lt;6.5,6.5/24,H134-G134-N134)</f>
        <v>0.41319444444444442</v>
      </c>
      <c r="P134" s="4">
        <f t="shared" ref="P134:P142" si="39">O134*24</f>
        <v>9.9166666666666661</v>
      </c>
      <c r="Q134" s="5">
        <f t="shared" ref="Q134:Q142" si="40">IF((I134-M134)*24&lt;3,0,IF(ROUNDUP((I134-M134)*24,0)&gt;12,12,ROUNDUP((I134-M134)*24,0)))</f>
        <v>11</v>
      </c>
      <c r="R134" s="5"/>
      <c r="S134" s="1">
        <f>IF(G134&lt;Daten!$T$3,Dienste!G134,0)</f>
        <v>0</v>
      </c>
      <c r="T134" s="1">
        <f>IF(G134&lt;Daten!$T$3,IF(H134&gt;Daten!$T$3,Daten!$T$3,Dienste!H134),0)</f>
        <v>0</v>
      </c>
      <c r="U134" s="1">
        <f>IF(H134*24&gt;Daten!$T$2*24+24, (Daten!$T$2*24+24)/24, 0)</f>
        <v>0</v>
      </c>
      <c r="V134" s="1">
        <f>IF(H134*24&gt;Daten!$T$2*24+24,IF(H134*24&gt;Daten!$T$3*24+24,(Daten!$T$3*24+24)/24,H134),0)</f>
        <v>0</v>
      </c>
      <c r="W134" s="4">
        <f t="shared" ref="W134:W142" si="41">((V134-U134)+(T134-S134))*24</f>
        <v>0</v>
      </c>
    </row>
    <row r="135" spans="2:30">
      <c r="B135" s="46">
        <f t="shared" si="23"/>
        <v>44578</v>
      </c>
      <c r="C135" s="5" t="str">
        <f t="shared" si="24"/>
        <v>44578 Dienst 3 SoF</v>
      </c>
      <c r="D135" s="100" t="s">
        <v>271</v>
      </c>
      <c r="E135" s="226"/>
      <c r="F135" s="5" t="str">
        <f t="shared" si="36"/>
        <v>Tour 3 SoF</v>
      </c>
      <c r="G135" s="102">
        <v>0.27777777777777779</v>
      </c>
      <c r="H135" s="102">
        <v>0.72777777777777775</v>
      </c>
      <c r="I135" s="1">
        <f t="shared" si="35"/>
        <v>0.44999999999999996</v>
      </c>
      <c r="J135" s="4">
        <f t="shared" si="26"/>
        <v>10.799999999999999</v>
      </c>
      <c r="K135" s="118">
        <f>VLOOKUP(Dienste!C135,Regiezeiten!B:E,3,FALSE)</f>
        <v>6.9444444444444198E-3</v>
      </c>
      <c r="L135" s="118">
        <f>VLOOKUP(Dienste!C135,Regiezeiten!B:E,4,FALSE)</f>
        <v>0</v>
      </c>
      <c r="M135" s="1">
        <f t="shared" si="37"/>
        <v>6.9444444444444198E-3</v>
      </c>
      <c r="N135" s="118">
        <f>IF(VLOOKUP(C135,Pause!B:D,3,FALSE)&gt;Datenblatt!$B$12,Datenblatt!$B$12,VLOOKUP(C135,Pause!B:D,3,FALSE))</f>
        <v>4.7222222222222221E-2</v>
      </c>
      <c r="O135" s="1">
        <f t="shared" si="38"/>
        <v>0.40277777777777773</v>
      </c>
      <c r="P135" s="4">
        <f t="shared" si="39"/>
        <v>9.6666666666666661</v>
      </c>
      <c r="Q135" s="5">
        <f t="shared" si="40"/>
        <v>11</v>
      </c>
      <c r="R135" s="5"/>
      <c r="S135" s="1">
        <f>IF(G135&lt;Daten!$T$3,Dienste!G135,0)</f>
        <v>0</v>
      </c>
      <c r="T135" s="1">
        <f>IF(G135&lt;Daten!$T$3,IF(H135&gt;Daten!$T$3,Daten!$T$3,Dienste!H135),0)</f>
        <v>0</v>
      </c>
      <c r="U135" s="1">
        <f>IF(H135*24&gt;Daten!$T$2*24+24, (Daten!$T$2*24+24)/24, 0)</f>
        <v>0</v>
      </c>
      <c r="V135" s="1">
        <f>IF(H135*24&gt;Daten!$T$2*24+24,IF(H135*24&gt;Daten!$T$3*24+24,(Daten!$T$3*24+24)/24,H135),0)</f>
        <v>0</v>
      </c>
      <c r="W135" s="4">
        <f t="shared" si="41"/>
        <v>0</v>
      </c>
    </row>
    <row r="136" spans="2:30">
      <c r="B136" s="46">
        <f t="shared" si="23"/>
        <v>44578</v>
      </c>
      <c r="C136" s="5" t="str">
        <f t="shared" si="24"/>
        <v>44578 Dienst 4 SoF</v>
      </c>
      <c r="D136" s="100" t="s">
        <v>272</v>
      </c>
      <c r="E136" s="226"/>
      <c r="F136" s="5" t="str">
        <f t="shared" si="36"/>
        <v>Tour 4 SoF</v>
      </c>
      <c r="G136" s="102">
        <v>0.30069444444444443</v>
      </c>
      <c r="H136" s="102">
        <v>0.86597222222222225</v>
      </c>
      <c r="I136" s="1">
        <f t="shared" si="35"/>
        <v>0.56527777777777777</v>
      </c>
      <c r="J136" s="4">
        <f t="shared" si="26"/>
        <v>13.566666666666666</v>
      </c>
      <c r="K136" s="118">
        <f>VLOOKUP(Dienste!C136,Regiezeiten!B:E,3,FALSE)</f>
        <v>6.9444444444444753E-3</v>
      </c>
      <c r="L136" s="118">
        <f>VLOOKUP(Dienste!C136,Regiezeiten!B:E,4,FALSE)</f>
        <v>1.041666666666663E-2</v>
      </c>
      <c r="M136" s="1">
        <f t="shared" si="37"/>
        <v>1.7361111111111105E-2</v>
      </c>
      <c r="N136" s="118">
        <f>IF(VLOOKUP(C136,Pause!B:D,3,FALSE)&gt;Datenblatt!$B$12,Datenblatt!$B$12,VLOOKUP(C136,Pause!B:D,3,FALSE))</f>
        <v>6.25E-2</v>
      </c>
      <c r="O136" s="1">
        <f t="shared" si="38"/>
        <v>0.50277777777777777</v>
      </c>
      <c r="P136" s="4">
        <f t="shared" si="39"/>
        <v>12.066666666666666</v>
      </c>
      <c r="Q136" s="5">
        <f t="shared" si="40"/>
        <v>12</v>
      </c>
      <c r="R136" s="5"/>
      <c r="S136" s="1">
        <f>IF(G136&lt;Daten!$T$3,Dienste!G136,0)</f>
        <v>0</v>
      </c>
      <c r="T136" s="1">
        <f>IF(G136&lt;Daten!$T$3,IF(H136&gt;Daten!$T$3,Daten!$T$3,Dienste!H136),0)</f>
        <v>0</v>
      </c>
      <c r="U136" s="1">
        <f>IF(H136*24&gt;Daten!$T$2*24+24, (Daten!$T$2*24+24)/24, 0)</f>
        <v>0</v>
      </c>
      <c r="V136" s="1">
        <f>IF(H136*24&gt;Daten!$T$2*24+24,IF(H136*24&gt;Daten!$T$3*24+24,(Daten!$T$3*24+24)/24,H136),0)</f>
        <v>0</v>
      </c>
      <c r="W136" s="4">
        <f t="shared" si="41"/>
        <v>0</v>
      </c>
    </row>
    <row r="137" spans="2:30">
      <c r="B137" s="46">
        <f t="shared" si="23"/>
        <v>44578</v>
      </c>
      <c r="C137" s="5" t="str">
        <f t="shared" si="24"/>
        <v>44578 Dienst 5 SoF</v>
      </c>
      <c r="D137" s="100" t="s">
        <v>273</v>
      </c>
      <c r="E137" s="226"/>
      <c r="F137" s="5" t="str">
        <f t="shared" si="36"/>
        <v>Tour 5 SoF</v>
      </c>
      <c r="G137" s="102">
        <v>0.31388888888888888</v>
      </c>
      <c r="H137" s="102">
        <v>0.86249999999999993</v>
      </c>
      <c r="I137" s="1">
        <f t="shared" si="35"/>
        <v>0.54861111111111105</v>
      </c>
      <c r="J137" s="4">
        <f t="shared" si="26"/>
        <v>13.166666666666664</v>
      </c>
      <c r="K137" s="118">
        <f>VLOOKUP(Dienste!C137,Regiezeiten!B:E,3,FALSE)</f>
        <v>0</v>
      </c>
      <c r="L137" s="118">
        <f>VLOOKUP(Dienste!C137,Regiezeiten!B:E,4,FALSE)</f>
        <v>1.041666666666663E-2</v>
      </c>
      <c r="M137" s="1">
        <f t="shared" si="37"/>
        <v>1.041666666666663E-2</v>
      </c>
      <c r="N137" s="118">
        <f>IF(VLOOKUP(C137,Pause!B:D,3,FALSE)&gt;Datenblatt!$B$12,Datenblatt!$B$12,VLOOKUP(C137,Pause!B:D,3,FALSE))</f>
        <v>6.25E-2</v>
      </c>
      <c r="O137" s="1">
        <f t="shared" si="38"/>
        <v>0.48611111111111105</v>
      </c>
      <c r="P137" s="4">
        <f t="shared" si="39"/>
        <v>11.666666666666664</v>
      </c>
      <c r="Q137" s="5">
        <f t="shared" si="40"/>
        <v>12</v>
      </c>
      <c r="R137" s="5"/>
      <c r="S137" s="1">
        <f>IF(G137&lt;Daten!$T$3,Dienste!G137,0)</f>
        <v>0</v>
      </c>
      <c r="T137" s="1">
        <f>IF(G137&lt;Daten!$T$3,IF(H137&gt;Daten!$T$3,Daten!$T$3,Dienste!H137),0)</f>
        <v>0</v>
      </c>
      <c r="U137" s="1">
        <f>IF(H137*24&gt;Daten!$T$2*24+24, (Daten!$T$2*24+24)/24, 0)</f>
        <v>0</v>
      </c>
      <c r="V137" s="1">
        <f>IF(H137*24&gt;Daten!$T$2*24+24,IF(H137*24&gt;Daten!$T$3*24+24,(Daten!$T$3*24+24)/24,H137),0)</f>
        <v>0</v>
      </c>
      <c r="W137" s="4">
        <f t="shared" si="41"/>
        <v>0</v>
      </c>
    </row>
    <row r="138" spans="2:30">
      <c r="B138" s="46">
        <f t="shared" si="23"/>
        <v>44578</v>
      </c>
      <c r="C138" s="5" t="str">
        <f t="shared" si="24"/>
        <v>44578 Dienst 6 SoF</v>
      </c>
      <c r="D138" s="100" t="s">
        <v>274</v>
      </c>
      <c r="E138" s="226"/>
      <c r="F138" s="5" t="str">
        <f t="shared" si="36"/>
        <v>Tour 6 SoF</v>
      </c>
      <c r="G138" s="102">
        <v>0.26805555555555555</v>
      </c>
      <c r="H138" s="102">
        <v>0.88958333333333339</v>
      </c>
      <c r="I138" s="1">
        <f t="shared" si="35"/>
        <v>0.6215277777777779</v>
      </c>
      <c r="J138" s="4">
        <f t="shared" si="26"/>
        <v>14.91666666666667</v>
      </c>
      <c r="K138" s="118">
        <f>VLOOKUP(Dienste!C138,Regiezeiten!B:E,3,FALSE)</f>
        <v>6.9444444444444198E-3</v>
      </c>
      <c r="L138" s="118">
        <f>VLOOKUP(Dienste!C138,Regiezeiten!B:E,4,FALSE)</f>
        <v>1.041666666666663E-2</v>
      </c>
      <c r="M138" s="1">
        <f t="shared" si="37"/>
        <v>1.7361111111111049E-2</v>
      </c>
      <c r="N138" s="118">
        <f>IF(VLOOKUP(C138,Pause!B:D,3,FALSE)&gt;Datenblatt!$B$12,Datenblatt!$B$12,VLOOKUP(C138,Pause!B:D,3,FALSE))</f>
        <v>6.25E-2</v>
      </c>
      <c r="O138" s="1">
        <f t="shared" si="38"/>
        <v>0.5590277777777779</v>
      </c>
      <c r="P138" s="4">
        <f t="shared" si="39"/>
        <v>13.41666666666667</v>
      </c>
      <c r="Q138" s="5">
        <f t="shared" si="40"/>
        <v>12</v>
      </c>
      <c r="R138" s="5"/>
      <c r="S138" s="1">
        <f>IF(G138&lt;Daten!$T$3,Dienste!G138,0)</f>
        <v>0</v>
      </c>
      <c r="T138" s="1">
        <f>IF(G138&lt;Daten!$T$3,IF(H138&gt;Daten!$T$3,Daten!$T$3,Dienste!H138),0)</f>
        <v>0</v>
      </c>
      <c r="U138" s="1">
        <f>IF(H138*24&gt;Daten!$T$2*24+24, (Daten!$T$2*24+24)/24, 0)</f>
        <v>0</v>
      </c>
      <c r="V138" s="1">
        <f>IF(H138*24&gt;Daten!$T$2*24+24,IF(H138*24&gt;Daten!$T$3*24+24,(Daten!$T$3*24+24)/24,H138),0)</f>
        <v>0</v>
      </c>
      <c r="W138" s="4">
        <f t="shared" si="41"/>
        <v>0</v>
      </c>
    </row>
    <row r="139" spans="2:30">
      <c r="B139" s="46">
        <f t="shared" si="23"/>
        <v>44578</v>
      </c>
      <c r="C139" s="5" t="str">
        <f t="shared" si="24"/>
        <v>44578 Dienst 7 SoF</v>
      </c>
      <c r="D139" s="100" t="s">
        <v>275</v>
      </c>
      <c r="E139" s="226"/>
      <c r="F139" s="5" t="str">
        <f t="shared" si="36"/>
        <v>Tour 7 SoF</v>
      </c>
      <c r="G139" s="102">
        <v>0.26805555555555555</v>
      </c>
      <c r="H139" s="102">
        <v>0.8930555555555556</v>
      </c>
      <c r="I139" s="1">
        <f t="shared" si="35"/>
        <v>0.625</v>
      </c>
      <c r="J139" s="4">
        <f t="shared" si="26"/>
        <v>15</v>
      </c>
      <c r="K139" s="118">
        <f>VLOOKUP(Dienste!C139,Regiezeiten!B:E,3,FALSE)</f>
        <v>6.9444444444444198E-3</v>
      </c>
      <c r="L139" s="118">
        <f>VLOOKUP(Dienste!C139,Regiezeiten!B:E,4,FALSE)</f>
        <v>1.0416666666666741E-2</v>
      </c>
      <c r="M139" s="1">
        <f t="shared" si="37"/>
        <v>1.736111111111116E-2</v>
      </c>
      <c r="N139" s="118">
        <f>IF(VLOOKUP(C139,Pause!B:D,3,FALSE)&gt;Datenblatt!$B$12,Datenblatt!$B$12,VLOOKUP(C139,Pause!B:D,3,FALSE))</f>
        <v>6.25E-2</v>
      </c>
      <c r="O139" s="1">
        <f t="shared" si="38"/>
        <v>0.5625</v>
      </c>
      <c r="P139" s="4">
        <f t="shared" si="39"/>
        <v>13.5</v>
      </c>
      <c r="Q139" s="5">
        <f t="shared" si="40"/>
        <v>12</v>
      </c>
      <c r="R139" s="5"/>
      <c r="S139" s="1">
        <f>IF(G139&lt;Daten!$T$3,Dienste!G139,0)</f>
        <v>0</v>
      </c>
      <c r="T139" s="1">
        <f>IF(G139&lt;Daten!$T$3,IF(H139&gt;Daten!$T$3,Daten!$T$3,Dienste!H139),0)</f>
        <v>0</v>
      </c>
      <c r="U139" s="1">
        <f>IF(H139*24&gt;Daten!$T$2*24+24, (Daten!$T$2*24+24)/24, 0)</f>
        <v>0</v>
      </c>
      <c r="V139" s="1">
        <f>IF(H139*24&gt;Daten!$T$2*24+24,IF(H139*24&gt;Daten!$T$3*24+24,(Daten!$T$3*24+24)/24,H139),0)</f>
        <v>0</v>
      </c>
      <c r="W139" s="4">
        <f t="shared" si="41"/>
        <v>0</v>
      </c>
    </row>
    <row r="140" spans="2:30">
      <c r="B140" s="46">
        <f t="shared" si="23"/>
        <v>44578</v>
      </c>
      <c r="C140" s="5" t="str">
        <f t="shared" si="24"/>
        <v>44578 Dienst 8 SoF</v>
      </c>
      <c r="D140" s="100" t="s">
        <v>276</v>
      </c>
      <c r="E140" s="226"/>
      <c r="F140" s="5" t="str">
        <f t="shared" si="36"/>
        <v>Tour 8 SoF</v>
      </c>
      <c r="G140" s="102">
        <v>0.39444444444444443</v>
      </c>
      <c r="H140" s="102">
        <v>0.89444444444444438</v>
      </c>
      <c r="I140" s="1">
        <f t="shared" si="35"/>
        <v>0.49999999999999994</v>
      </c>
      <c r="J140" s="4">
        <f t="shared" si="26"/>
        <v>11.999999999999998</v>
      </c>
      <c r="K140" s="118">
        <f>VLOOKUP(Dienste!C140,Regiezeiten!B:E,3,FALSE)</f>
        <v>0</v>
      </c>
      <c r="L140" s="118">
        <f>VLOOKUP(Dienste!C140,Regiezeiten!B:E,4,FALSE)</f>
        <v>1.041666666666663E-2</v>
      </c>
      <c r="M140" s="1">
        <f t="shared" si="37"/>
        <v>1.041666666666663E-2</v>
      </c>
      <c r="N140" s="118">
        <f>IF(VLOOKUP(C140,Pause!B:D,3,FALSE)&gt;Datenblatt!$B$12,Datenblatt!$B$12,VLOOKUP(C140,Pause!B:D,3,FALSE))</f>
        <v>6.25E-2</v>
      </c>
      <c r="O140" s="1">
        <f t="shared" si="38"/>
        <v>0.43749999999999994</v>
      </c>
      <c r="P140" s="4">
        <f t="shared" si="39"/>
        <v>10.499999999999998</v>
      </c>
      <c r="Q140" s="5">
        <f t="shared" si="40"/>
        <v>12</v>
      </c>
      <c r="R140" s="5"/>
      <c r="S140" s="1">
        <f>IF(G140&lt;Daten!$T$3,Dienste!G140,0)</f>
        <v>0</v>
      </c>
      <c r="T140" s="1">
        <f>IF(G140&lt;Daten!$T$3,IF(H140&gt;Daten!$T$3,Daten!$T$3,Dienste!H140),0)</f>
        <v>0</v>
      </c>
      <c r="U140" s="1">
        <f>IF(H140*24&gt;Daten!$T$2*24+24, (Daten!$T$2*24+24)/24, 0)</f>
        <v>0</v>
      </c>
      <c r="V140" s="1">
        <f>IF(H140*24&gt;Daten!$T$2*24+24,IF(H140*24&gt;Daten!$T$3*24+24,(Daten!$T$3*24+24)/24,H140),0)</f>
        <v>0</v>
      </c>
      <c r="W140" s="4">
        <f t="shared" si="41"/>
        <v>0</v>
      </c>
    </row>
    <row r="141" spans="2:30">
      <c r="B141" s="46">
        <f t="shared" ref="B141:B142" si="42">IF(NOT(A141=""),A141,B140)</f>
        <v>44578</v>
      </c>
      <c r="C141" s="5" t="str">
        <f t="shared" ref="C141:C142" si="43">CONCATENATE(B141," ",D141)</f>
        <v>44578 Dienst 9 SoF</v>
      </c>
      <c r="D141" s="100" t="s">
        <v>277</v>
      </c>
      <c r="E141" s="226"/>
      <c r="F141" s="5" t="str">
        <f t="shared" si="36"/>
        <v>Tour 9 SoF</v>
      </c>
      <c r="G141" s="102">
        <v>0.43611111111111112</v>
      </c>
      <c r="H141" s="102">
        <v>0.89027777777777783</v>
      </c>
      <c r="I141" s="1">
        <f t="shared" si="35"/>
        <v>0.45416666666666672</v>
      </c>
      <c r="J141" s="4">
        <f t="shared" ref="J141:J142" si="44">I141*24</f>
        <v>10.900000000000002</v>
      </c>
      <c r="K141" s="118">
        <f>VLOOKUP(Dienste!C141,Regiezeiten!B:E,3,FALSE)</f>
        <v>0</v>
      </c>
      <c r="L141" s="118">
        <f>VLOOKUP(Dienste!C141,Regiezeiten!B:E,4,FALSE)</f>
        <v>1.0416666666666741E-2</v>
      </c>
      <c r="M141" s="1">
        <f t="shared" si="37"/>
        <v>1.0416666666666741E-2</v>
      </c>
      <c r="N141" s="118">
        <f>IF(VLOOKUP(C141,Pause!B:D,3,FALSE)&gt;Datenblatt!$B$12,Datenblatt!$B$12,VLOOKUP(C141,Pause!B:D,3,FALSE))</f>
        <v>6.25E-2</v>
      </c>
      <c r="O141" s="1">
        <f t="shared" si="38"/>
        <v>0.39166666666666672</v>
      </c>
      <c r="P141" s="4">
        <f t="shared" si="39"/>
        <v>9.4000000000000021</v>
      </c>
      <c r="Q141" s="5">
        <f t="shared" si="40"/>
        <v>11</v>
      </c>
      <c r="R141" s="5"/>
      <c r="S141" s="1">
        <f>IF(G141&lt;Daten!$T$3,Dienste!G141,0)</f>
        <v>0</v>
      </c>
      <c r="T141" s="1">
        <f>IF(G141&lt;Daten!$T$3,IF(H141&gt;Daten!$T$3,Daten!$T$3,Dienste!H141),0)</f>
        <v>0</v>
      </c>
      <c r="U141" s="1">
        <f>IF(H141*24&gt;Daten!$T$2*24+24, (Daten!$T$2*24+24)/24, 0)</f>
        <v>0</v>
      </c>
      <c r="V141" s="1">
        <f>IF(H141*24&gt;Daten!$T$2*24+24,IF(H141*24&gt;Daten!$T$3*24+24,(Daten!$T$3*24+24)/24,H141),0)</f>
        <v>0</v>
      </c>
      <c r="W141" s="4">
        <f t="shared" si="41"/>
        <v>0</v>
      </c>
    </row>
    <row r="142" spans="2:30">
      <c r="B142" s="46">
        <f t="shared" si="42"/>
        <v>44578</v>
      </c>
      <c r="C142" s="5" t="str">
        <f t="shared" si="43"/>
        <v>44578 Dienst 10 SoF</v>
      </c>
      <c r="D142" s="100" t="s">
        <v>278</v>
      </c>
      <c r="E142" s="226"/>
      <c r="F142" s="5" t="str">
        <f t="shared" si="36"/>
        <v>Tour 10 SoF</v>
      </c>
      <c r="G142" s="102">
        <v>0.27777777777777779</v>
      </c>
      <c r="H142" s="102">
        <v>0.76944444444444438</v>
      </c>
      <c r="I142" s="1">
        <f t="shared" si="35"/>
        <v>0.49166666666666659</v>
      </c>
      <c r="J142" s="4">
        <f t="shared" si="44"/>
        <v>11.799999999999997</v>
      </c>
      <c r="K142" s="118">
        <f>VLOOKUP(Dienste!C142,Regiezeiten!B:E,3,FALSE)</f>
        <v>6.9444444444444198E-3</v>
      </c>
      <c r="L142" s="118">
        <f>VLOOKUP(Dienste!C142,Regiezeiten!B:E,4,FALSE)</f>
        <v>0</v>
      </c>
      <c r="M142" s="1">
        <f t="shared" si="37"/>
        <v>6.9444444444444198E-3</v>
      </c>
      <c r="N142" s="118">
        <f>IF(VLOOKUP(C142,Pause!B:D,3,FALSE)&gt;Datenblatt!$B$12,Datenblatt!$B$12,VLOOKUP(C142,Pause!B:D,3,FALSE))</f>
        <v>6.25E-2</v>
      </c>
      <c r="O142" s="1">
        <f t="shared" si="38"/>
        <v>0.42916666666666659</v>
      </c>
      <c r="P142" s="4">
        <f t="shared" si="39"/>
        <v>10.299999999999997</v>
      </c>
      <c r="Q142" s="5">
        <f t="shared" si="40"/>
        <v>12</v>
      </c>
      <c r="R142" s="5"/>
      <c r="S142" s="1">
        <f>IF(G142&lt;Daten!$T$3,Dienste!G142,0)</f>
        <v>0</v>
      </c>
      <c r="T142" s="1">
        <f>IF(G142&lt;Daten!$T$3,IF(H142&gt;Daten!$T$3,Daten!$T$3,Dienste!H142),0)</f>
        <v>0</v>
      </c>
      <c r="U142" s="1">
        <f>IF(H142*24&gt;Daten!$T$2*24+24, (Daten!$T$2*24+24)/24, 0)</f>
        <v>0</v>
      </c>
      <c r="V142" s="1">
        <f>IF(H142*24&gt;Daten!$T$2*24+24,IF(H142*24&gt;Daten!$T$3*24+24,(Daten!$T$3*24+24)/24,H142),0)</f>
        <v>0</v>
      </c>
      <c r="W142" s="4">
        <f t="shared" si="41"/>
        <v>0</v>
      </c>
    </row>
  </sheetData>
  <mergeCells count="6">
    <mergeCell ref="E133:E142"/>
    <mergeCell ref="E5:E34"/>
    <mergeCell ref="E35:E65"/>
    <mergeCell ref="E66:E75"/>
    <mergeCell ref="E76:E104"/>
    <mergeCell ref="E107:E132"/>
  </mergeCells>
  <phoneticPr fontId="2" type="noConversion"/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679A-BABB-4758-8B25-2DD7DD7E2552}">
  <dimension ref="A2:S71"/>
  <sheetViews>
    <sheetView zoomScaleNormal="100" workbookViewId="0">
      <selection activeCell="X6" sqref="X6"/>
    </sheetView>
  </sheetViews>
  <sheetFormatPr defaultColWidth="10.6328125" defaultRowHeight="14.5"/>
  <cols>
    <col min="1" max="1" width="10.6328125" style="5"/>
    <col min="2" max="2" width="17.08984375" style="5" hidden="1" customWidth="1"/>
    <col min="3" max="3" width="13.1796875" style="5" bestFit="1" customWidth="1"/>
    <col min="4" max="5" width="10.6328125" style="5"/>
    <col min="6" max="6" width="5.6328125" style="5" customWidth="1"/>
    <col min="7" max="12" width="10.6328125" style="100"/>
    <col min="13" max="13" width="6.1796875" style="5" customWidth="1"/>
    <col min="14" max="19" width="10.6328125" style="100"/>
    <col min="20" max="16384" width="10.6328125" style="5"/>
  </cols>
  <sheetData>
    <row r="2" spans="1:19" s="2" customFormat="1">
      <c r="C2" s="3" t="s">
        <v>16</v>
      </c>
      <c r="D2" s="2" t="s">
        <v>148</v>
      </c>
      <c r="E2" s="2" t="s">
        <v>149</v>
      </c>
      <c r="G2" s="107" t="s">
        <v>150</v>
      </c>
      <c r="H2" s="107" t="s">
        <v>143</v>
      </c>
      <c r="I2" s="107" t="s">
        <v>150</v>
      </c>
      <c r="J2" s="107" t="s">
        <v>143</v>
      </c>
      <c r="K2" s="107" t="s">
        <v>150</v>
      </c>
      <c r="L2" s="107" t="s">
        <v>143</v>
      </c>
      <c r="N2" s="107" t="s">
        <v>151</v>
      </c>
      <c r="O2" s="107" t="s">
        <v>147</v>
      </c>
      <c r="P2" s="107" t="s">
        <v>151</v>
      </c>
      <c r="Q2" s="107" t="s">
        <v>147</v>
      </c>
      <c r="R2" s="107" t="s">
        <v>151</v>
      </c>
      <c r="S2" s="107" t="s">
        <v>147</v>
      </c>
    </row>
    <row r="3" spans="1:19">
      <c r="C3" s="5" t="str">
        <f>Dienste!D3</f>
        <v>Krankenstand</v>
      </c>
    </row>
    <row r="4" spans="1:19">
      <c r="C4" s="5" t="str">
        <f>Dienste!D4</f>
        <v>Urlaub</v>
      </c>
    </row>
    <row r="5" spans="1:19">
      <c r="A5" s="22">
        <f>Dienste!B76</f>
        <v>44578</v>
      </c>
      <c r="B5" s="5" t="str">
        <f>Dienste!C76</f>
        <v>44578 Dienst 1</v>
      </c>
      <c r="C5" s="5" t="str">
        <f>Dienste!D76</f>
        <v>Dienst 1</v>
      </c>
      <c r="D5" s="1">
        <f>(H5-G5)+(J5-I5)+(L5-K5)</f>
        <v>6.9444444444444198E-3</v>
      </c>
      <c r="E5" s="1">
        <f>(O5-N5)+(Q5-P5)+(S5-R5)</f>
        <v>0</v>
      </c>
      <c r="F5" s="1"/>
      <c r="G5" s="102">
        <v>0.19652777777777777</v>
      </c>
      <c r="H5" s="102">
        <v>0.20347222222222219</v>
      </c>
      <c r="I5" s="102"/>
      <c r="J5" s="102"/>
      <c r="K5" s="102"/>
      <c r="L5" s="102"/>
      <c r="M5" s="1"/>
      <c r="N5" s="102"/>
      <c r="O5" s="102"/>
      <c r="P5" s="102"/>
      <c r="Q5" s="102"/>
      <c r="R5" s="102"/>
      <c r="S5" s="102"/>
    </row>
    <row r="6" spans="1:19">
      <c r="A6" s="22">
        <f>Dienste!B77</f>
        <v>44578</v>
      </c>
      <c r="B6" s="5" t="str">
        <f>Dienste!C77</f>
        <v>44578 Dienst 2</v>
      </c>
      <c r="C6" s="5" t="str">
        <f>Dienste!D77</f>
        <v>Dienst 2</v>
      </c>
      <c r="D6" s="1">
        <f t="shared" ref="D6:D62" si="0">(H6-G6)+(J6-I6)+(L6-K6)</f>
        <v>6.9444444444444475E-3</v>
      </c>
      <c r="E6" s="1">
        <f t="shared" ref="E6:E62" si="1">(O6-N6)+(Q6-P6)+(S6-R6)</f>
        <v>0</v>
      </c>
      <c r="G6" s="102">
        <v>0.21736111111111112</v>
      </c>
      <c r="H6" s="102">
        <v>0.22430555555555556</v>
      </c>
    </row>
    <row r="7" spans="1:19">
      <c r="A7" s="22">
        <f>Dienste!B78</f>
        <v>44578</v>
      </c>
      <c r="B7" s="5" t="str">
        <f>Dienste!C78</f>
        <v>44578 Dienst 3</v>
      </c>
      <c r="C7" s="5" t="str">
        <f>Dienste!D78</f>
        <v>Dienst 3</v>
      </c>
      <c r="D7" s="1">
        <f t="shared" si="0"/>
        <v>6.9444444444444753E-3</v>
      </c>
      <c r="E7" s="1">
        <f t="shared" si="1"/>
        <v>0</v>
      </c>
      <c r="G7" s="102">
        <v>0.20069444444444443</v>
      </c>
      <c r="H7" s="102">
        <v>0.2076388888888889</v>
      </c>
    </row>
    <row r="8" spans="1:19">
      <c r="A8" s="22">
        <f>Dienste!B79</f>
        <v>44578</v>
      </c>
      <c r="B8" s="5" t="str">
        <f>Dienste!C79</f>
        <v>44578 Dienst 4</v>
      </c>
      <c r="C8" s="5" t="str">
        <f>Dienste!D79</f>
        <v>Dienst 4</v>
      </c>
      <c r="D8" s="1">
        <f t="shared" si="0"/>
        <v>6.9444444444444475E-3</v>
      </c>
      <c r="E8" s="1">
        <f t="shared" si="1"/>
        <v>0</v>
      </c>
      <c r="G8" s="102">
        <v>0.1875</v>
      </c>
      <c r="H8" s="102">
        <v>0.19444444444444445</v>
      </c>
    </row>
    <row r="9" spans="1:19">
      <c r="A9" s="22">
        <f>Dienste!B80</f>
        <v>44578</v>
      </c>
      <c r="B9" s="5" t="str">
        <f>Dienste!C80</f>
        <v>44578 Dienst 5</v>
      </c>
      <c r="C9" s="5" t="str">
        <f>Dienste!D80</f>
        <v>Dienst 5</v>
      </c>
      <c r="D9" s="1">
        <f t="shared" si="0"/>
        <v>6.9444444444444753E-3</v>
      </c>
      <c r="E9" s="1">
        <f t="shared" si="1"/>
        <v>0</v>
      </c>
      <c r="G9" s="102">
        <v>0.19999999999999998</v>
      </c>
      <c r="H9" s="102">
        <v>0.20694444444444446</v>
      </c>
    </row>
    <row r="10" spans="1:19">
      <c r="A10" s="22">
        <f>Dienste!B81</f>
        <v>44578</v>
      </c>
      <c r="B10" s="5" t="str">
        <f>Dienste!C81</f>
        <v>44578 Dienst 6</v>
      </c>
      <c r="C10" s="5" t="str">
        <f>Dienste!D81</f>
        <v>Dienst 6</v>
      </c>
      <c r="D10" s="1">
        <f t="shared" si="0"/>
        <v>6.9444444444444753E-3</v>
      </c>
      <c r="E10" s="1">
        <f t="shared" si="1"/>
        <v>0</v>
      </c>
      <c r="G10" s="102">
        <v>0.20347222222222219</v>
      </c>
      <c r="H10" s="102">
        <v>0.21041666666666667</v>
      </c>
    </row>
    <row r="11" spans="1:19">
      <c r="A11" s="22">
        <f>Dienste!B82</f>
        <v>44578</v>
      </c>
      <c r="B11" s="5" t="str">
        <f>Dienste!C82</f>
        <v>44578 Dienst 7</v>
      </c>
      <c r="C11" s="5" t="str">
        <f>Dienste!D82</f>
        <v>Dienst 7</v>
      </c>
      <c r="D11" s="1">
        <f t="shared" si="0"/>
        <v>6.9444444444444198E-3</v>
      </c>
      <c r="E11" s="1">
        <f t="shared" si="1"/>
        <v>0</v>
      </c>
      <c r="G11" s="102">
        <v>0.19444444444444445</v>
      </c>
      <c r="H11" s="102">
        <v>0.20138888888888887</v>
      </c>
    </row>
    <row r="12" spans="1:19">
      <c r="A12" s="22">
        <f>Dienste!B83</f>
        <v>44578</v>
      </c>
      <c r="B12" s="5" t="str">
        <f>Dienste!C83</f>
        <v>44578 Dienst 8</v>
      </c>
      <c r="C12" s="5" t="str">
        <f>Dienste!D83</f>
        <v>Dienst 8</v>
      </c>
      <c r="D12" s="1">
        <f t="shared" si="0"/>
        <v>6.9444444444444198E-3</v>
      </c>
      <c r="E12" s="1">
        <f t="shared" si="1"/>
        <v>0</v>
      </c>
      <c r="G12" s="102">
        <v>0.20555555555555557</v>
      </c>
      <c r="H12" s="102">
        <v>0.21249999999999999</v>
      </c>
    </row>
    <row r="13" spans="1:19">
      <c r="A13" s="22">
        <f>Dienste!B84</f>
        <v>44578</v>
      </c>
      <c r="B13" s="5" t="str">
        <f>Dienste!C84</f>
        <v>44578 Dienst 9</v>
      </c>
      <c r="C13" s="5" t="str">
        <f>Dienste!D84</f>
        <v>Dienst 9</v>
      </c>
      <c r="D13" s="1">
        <f t="shared" si="0"/>
        <v>6.9444444444444753E-3</v>
      </c>
      <c r="E13" s="1">
        <f t="shared" si="1"/>
        <v>0</v>
      </c>
      <c r="G13" s="102">
        <v>0.1986111111111111</v>
      </c>
      <c r="H13" s="102">
        <v>0.20555555555555557</v>
      </c>
    </row>
    <row r="14" spans="1:19">
      <c r="A14" s="22">
        <f>Dienste!B85</f>
        <v>44578</v>
      </c>
      <c r="B14" s="5" t="str">
        <f>Dienste!C85</f>
        <v>44578 Dienst 10</v>
      </c>
      <c r="C14" s="5" t="str">
        <f>Dienste!D85</f>
        <v>Dienst 10</v>
      </c>
      <c r="D14" s="1">
        <f t="shared" si="0"/>
        <v>6.9444444444444198E-3</v>
      </c>
      <c r="E14" s="1">
        <f t="shared" si="1"/>
        <v>0</v>
      </c>
      <c r="G14" s="102">
        <v>0.18472222222222223</v>
      </c>
      <c r="H14" s="102">
        <v>0.19166666666666665</v>
      </c>
    </row>
    <row r="15" spans="1:19">
      <c r="A15" s="22">
        <f>Dienste!B86</f>
        <v>44578</v>
      </c>
      <c r="B15" s="5" t="str">
        <f>Dienste!C86</f>
        <v>44578 Dienst 11</v>
      </c>
      <c r="C15" s="5" t="str">
        <f>Dienste!D86</f>
        <v>Dienst 11</v>
      </c>
      <c r="D15" s="1">
        <f t="shared" si="0"/>
        <v>6.9444444444444198E-3</v>
      </c>
      <c r="E15" s="1">
        <f t="shared" si="1"/>
        <v>0</v>
      </c>
      <c r="G15" s="102">
        <v>0.20555555555555557</v>
      </c>
      <c r="H15" s="102">
        <v>0.21249999999999999</v>
      </c>
    </row>
    <row r="16" spans="1:19">
      <c r="A16" s="22">
        <f>Dienste!B87</f>
        <v>44578</v>
      </c>
      <c r="B16" s="5" t="str">
        <f>Dienste!C87</f>
        <v>44578 Dienst 12</v>
      </c>
      <c r="C16" s="5" t="str">
        <f>Dienste!D87</f>
        <v>Dienst 12</v>
      </c>
      <c r="D16" s="1">
        <f t="shared" si="0"/>
        <v>6.9444444444444198E-3</v>
      </c>
      <c r="E16" s="1">
        <f t="shared" si="1"/>
        <v>0</v>
      </c>
      <c r="G16" s="102">
        <v>0.20555555555555557</v>
      </c>
      <c r="H16" s="102">
        <v>0.21249999999999999</v>
      </c>
    </row>
    <row r="17" spans="1:17">
      <c r="A17" s="22">
        <f>Dienste!B88</f>
        <v>44578</v>
      </c>
      <c r="B17" s="5" t="str">
        <f>Dienste!C88</f>
        <v>44578 Dienst 13</v>
      </c>
      <c r="C17" s="5" t="str">
        <f>Dienste!D88</f>
        <v>Dienst 13</v>
      </c>
      <c r="D17" s="1">
        <f t="shared" si="0"/>
        <v>6.9444444444444198E-3</v>
      </c>
      <c r="E17" s="1">
        <f t="shared" si="1"/>
        <v>0</v>
      </c>
      <c r="G17" s="102">
        <v>0.22638888888888889</v>
      </c>
      <c r="H17" s="102">
        <v>0.23333333333333331</v>
      </c>
    </row>
    <row r="18" spans="1:17">
      <c r="A18" s="22">
        <f>Dienste!B89</f>
        <v>44578</v>
      </c>
      <c r="B18" s="5" t="str">
        <f>Dienste!C89</f>
        <v>44578 Dienst 14</v>
      </c>
      <c r="C18" s="5" t="str">
        <f>Dienste!D89</f>
        <v>Dienst 14</v>
      </c>
      <c r="D18" s="1">
        <f t="shared" si="0"/>
        <v>0</v>
      </c>
      <c r="E18" s="1">
        <f t="shared" si="1"/>
        <v>1.041666666666663E-2</v>
      </c>
      <c r="N18" s="102">
        <v>0.95763888888888893</v>
      </c>
      <c r="O18" s="102">
        <v>0.96805555555555556</v>
      </c>
    </row>
    <row r="19" spans="1:17">
      <c r="A19" s="22">
        <f>Dienste!B90</f>
        <v>44578</v>
      </c>
      <c r="B19" s="5" t="str">
        <f>Dienste!C90</f>
        <v>44578 Dienst 15</v>
      </c>
      <c r="C19" s="5" t="str">
        <f>Dienste!D90</f>
        <v>Dienst 15</v>
      </c>
      <c r="D19" s="1">
        <f t="shared" si="0"/>
        <v>0</v>
      </c>
      <c r="E19" s="1">
        <f t="shared" si="1"/>
        <v>1.041666666666663E-2</v>
      </c>
      <c r="N19" s="102">
        <v>0.91875000000000007</v>
      </c>
      <c r="O19" s="102">
        <v>0.9291666666666667</v>
      </c>
    </row>
    <row r="20" spans="1:17">
      <c r="A20" s="22">
        <f>Dienste!B91</f>
        <v>44578</v>
      </c>
      <c r="B20" s="5" t="str">
        <f>Dienste!C91</f>
        <v>44578 Dienst 16</v>
      </c>
      <c r="C20" s="5" t="str">
        <f>Dienste!D91</f>
        <v>Dienst 16</v>
      </c>
      <c r="D20" s="1">
        <f t="shared" si="0"/>
        <v>0</v>
      </c>
      <c r="E20" s="1">
        <f t="shared" si="1"/>
        <v>1.0416666666666741E-2</v>
      </c>
      <c r="N20" s="102">
        <v>0.93958333333333333</v>
      </c>
      <c r="O20" s="102">
        <v>0.95000000000000007</v>
      </c>
    </row>
    <row r="21" spans="1:17">
      <c r="A21" s="22">
        <f>Dienste!B92</f>
        <v>44578</v>
      </c>
      <c r="B21" s="5" t="str">
        <f>Dienste!C92</f>
        <v>44578 Dienst 17</v>
      </c>
      <c r="C21" s="5" t="str">
        <f>Dienste!D92</f>
        <v>Dienst 17</v>
      </c>
      <c r="D21" s="1">
        <f t="shared" si="0"/>
        <v>0</v>
      </c>
      <c r="E21" s="1">
        <f t="shared" si="1"/>
        <v>0</v>
      </c>
    </row>
    <row r="22" spans="1:17">
      <c r="A22" s="22">
        <f>Dienste!B93</f>
        <v>44578</v>
      </c>
      <c r="B22" s="5" t="str">
        <f>Dienste!C93</f>
        <v>44578 Dienst 18</v>
      </c>
      <c r="C22" s="5" t="str">
        <f>Dienste!D93</f>
        <v>Dienst 18</v>
      </c>
      <c r="D22" s="1">
        <f t="shared" si="0"/>
        <v>0</v>
      </c>
      <c r="E22" s="1">
        <f t="shared" si="1"/>
        <v>1.041666666666663E-2</v>
      </c>
      <c r="N22" s="102">
        <v>0.91319444444444453</v>
      </c>
      <c r="O22" s="102">
        <v>0.92361111111111116</v>
      </c>
    </row>
    <row r="23" spans="1:17">
      <c r="A23" s="22">
        <f>Dienste!B94</f>
        <v>44578</v>
      </c>
      <c r="B23" s="5" t="str">
        <f>Dienste!C94</f>
        <v>44578 Dienst 19</v>
      </c>
      <c r="C23" s="5" t="str">
        <f>Dienste!D94</f>
        <v>Dienst 19</v>
      </c>
      <c r="D23" s="1">
        <f t="shared" si="0"/>
        <v>0</v>
      </c>
      <c r="E23" s="1">
        <f t="shared" si="1"/>
        <v>1.041666666666663E-2</v>
      </c>
      <c r="N23" s="102">
        <v>0.92569444444444438</v>
      </c>
      <c r="O23" s="102">
        <v>0.93611111111111101</v>
      </c>
    </row>
    <row r="24" spans="1:17">
      <c r="A24" s="22">
        <f>Dienste!B95</f>
        <v>44578</v>
      </c>
      <c r="B24" s="5" t="str">
        <f>Dienste!C95</f>
        <v>44578 Dienst 20</v>
      </c>
      <c r="C24" s="5" t="str">
        <f>Dienste!D95</f>
        <v>Dienst 20</v>
      </c>
      <c r="D24" s="1">
        <f t="shared" si="0"/>
        <v>0</v>
      </c>
      <c r="E24" s="1">
        <f t="shared" si="1"/>
        <v>1.041666666666663E-2</v>
      </c>
      <c r="N24" s="102">
        <v>0.95208333333333339</v>
      </c>
      <c r="O24" s="102">
        <v>0.96250000000000002</v>
      </c>
    </row>
    <row r="25" spans="1:17">
      <c r="A25" s="22">
        <f>Dienste!B96</f>
        <v>44578</v>
      </c>
      <c r="B25" s="5" t="str">
        <f>Dienste!C96</f>
        <v>44578 Dienst 21</v>
      </c>
      <c r="C25" s="5" t="str">
        <f>Dienste!D96</f>
        <v>Dienst 21</v>
      </c>
      <c r="D25" s="1">
        <f t="shared" si="0"/>
        <v>0</v>
      </c>
      <c r="E25" s="1">
        <f t="shared" si="1"/>
        <v>1.041666666666663E-2</v>
      </c>
      <c r="N25" s="102">
        <v>0.95277777777777783</v>
      </c>
      <c r="O25" s="102">
        <v>0.96319444444444446</v>
      </c>
    </row>
    <row r="26" spans="1:17">
      <c r="A26" s="22">
        <f>Dienste!B97</f>
        <v>44578</v>
      </c>
      <c r="B26" s="5" t="str">
        <f>Dienste!C97</f>
        <v>44578 Dienst 22</v>
      </c>
      <c r="C26" s="5" t="str">
        <f>Dienste!D97</f>
        <v>Dienst 22</v>
      </c>
      <c r="D26" s="1">
        <f t="shared" si="0"/>
        <v>0</v>
      </c>
      <c r="E26" s="1">
        <f t="shared" si="1"/>
        <v>1.041666666666663E-2</v>
      </c>
      <c r="N26" s="102">
        <v>0.95277777777777783</v>
      </c>
      <c r="O26" s="102">
        <v>0.96319444444444446</v>
      </c>
    </row>
    <row r="27" spans="1:17">
      <c r="A27" s="22">
        <f>Dienste!B98</f>
        <v>44578</v>
      </c>
      <c r="B27" s="5" t="str">
        <f>Dienste!C98</f>
        <v>44578 Dienst 22 O</v>
      </c>
      <c r="C27" s="5" t="str">
        <f>Dienste!D98</f>
        <v>Dienst 22 O</v>
      </c>
      <c r="D27" s="1">
        <f t="shared" ref="D27" si="2">(H27-G27)+(J27-I27)+(L27-K27)</f>
        <v>0</v>
      </c>
      <c r="E27" s="1">
        <f t="shared" ref="E27" si="3">(O27-N27)+(Q27-P27)+(S27-R27)</f>
        <v>1.041666666666663E-2</v>
      </c>
      <c r="N27" s="102">
        <v>0.93194444444444446</v>
      </c>
      <c r="O27" s="102">
        <v>0.94236111111111109</v>
      </c>
    </row>
    <row r="28" spans="1:17">
      <c r="A28" s="22">
        <f>Dienste!B99</f>
        <v>44578</v>
      </c>
      <c r="B28" s="5" t="str">
        <f>Dienste!C99</f>
        <v>44578 Dienst 23</v>
      </c>
      <c r="C28" s="5" t="str">
        <f>Dienste!D99</f>
        <v>Dienst 23</v>
      </c>
      <c r="D28" s="1">
        <f t="shared" si="0"/>
        <v>0</v>
      </c>
      <c r="E28" s="1">
        <f t="shared" si="1"/>
        <v>1.0416666666666741E-2</v>
      </c>
      <c r="N28" s="102">
        <v>0.93611111111111101</v>
      </c>
      <c r="O28" s="102">
        <v>0.94652777777777775</v>
      </c>
    </row>
    <row r="29" spans="1:17">
      <c r="A29" s="22">
        <f>Dienste!B100</f>
        <v>44578</v>
      </c>
      <c r="B29" s="5" t="str">
        <f>Dienste!C100</f>
        <v>44578 Dienst 24</v>
      </c>
      <c r="C29" s="5" t="str">
        <f>Dienste!D100</f>
        <v>Dienst 24</v>
      </c>
      <c r="D29" s="1">
        <f t="shared" si="0"/>
        <v>0</v>
      </c>
      <c r="E29" s="1">
        <f t="shared" si="1"/>
        <v>1.041666666666663E-2</v>
      </c>
      <c r="N29" s="102">
        <v>0.9145833333333333</v>
      </c>
      <c r="O29" s="102">
        <v>0.92499999999999993</v>
      </c>
    </row>
    <row r="30" spans="1:17">
      <c r="A30" s="22">
        <f>Dienste!B101</f>
        <v>44578</v>
      </c>
      <c r="B30" s="5" t="str">
        <f>Dienste!C101</f>
        <v>44578 Dienst 25</v>
      </c>
      <c r="C30" s="5" t="str">
        <f>Dienste!D101</f>
        <v>Dienst 25</v>
      </c>
      <c r="D30" s="1">
        <f t="shared" si="0"/>
        <v>0</v>
      </c>
      <c r="E30" s="1">
        <f t="shared" si="1"/>
        <v>1.041666666666663E-2</v>
      </c>
      <c r="N30" s="102">
        <v>0.9375</v>
      </c>
      <c r="O30" s="102">
        <v>0.94791666666666663</v>
      </c>
    </row>
    <row r="31" spans="1:17">
      <c r="A31" s="22">
        <f>Dienste!B102</f>
        <v>44578</v>
      </c>
      <c r="B31" s="5" t="str">
        <f>Dienste!C102</f>
        <v>44578 Dienst 26 oR</v>
      </c>
      <c r="C31" s="5" t="str">
        <f>Dienste!D102</f>
        <v>Dienst 26 oR</v>
      </c>
      <c r="D31" s="1">
        <f t="shared" si="0"/>
        <v>0</v>
      </c>
      <c r="E31" s="1">
        <f t="shared" si="1"/>
        <v>1.041666666666663E-2</v>
      </c>
      <c r="N31" s="102">
        <v>0.96319444444444446</v>
      </c>
      <c r="O31" s="102">
        <v>0.97361111111111109</v>
      </c>
    </row>
    <row r="32" spans="1:17">
      <c r="A32" s="22">
        <f>Dienste!B103</f>
        <v>44578</v>
      </c>
      <c r="B32" s="5" t="str">
        <f>Dienste!C103</f>
        <v>44578 Dienst 26 mR</v>
      </c>
      <c r="C32" s="5" t="str">
        <f>Dienste!D103</f>
        <v>Dienst 26 mR</v>
      </c>
      <c r="D32" s="1">
        <f t="shared" si="0"/>
        <v>4.1666666666665408E-3</v>
      </c>
      <c r="E32" s="1">
        <f t="shared" si="1"/>
        <v>1.041666666666663E-2</v>
      </c>
      <c r="G32" s="102"/>
      <c r="H32" s="102"/>
      <c r="I32" s="102">
        <v>0.70277777777777783</v>
      </c>
      <c r="J32" s="102">
        <v>0.70694444444444438</v>
      </c>
      <c r="N32" s="102">
        <v>0.96319444444444446</v>
      </c>
      <c r="O32" s="102">
        <v>0.97361111111111109</v>
      </c>
      <c r="P32" s="102"/>
      <c r="Q32" s="102"/>
    </row>
    <row r="33" spans="1:17">
      <c r="A33" s="22">
        <f>Dienste!B104</f>
        <v>44578</v>
      </c>
      <c r="B33" s="5" t="str">
        <f>Dienste!C104</f>
        <v>44578 Dienst 27</v>
      </c>
      <c r="C33" s="5" t="str">
        <f>Dienste!D104</f>
        <v>Dienst 27</v>
      </c>
      <c r="D33" s="1">
        <f t="shared" si="0"/>
        <v>0</v>
      </c>
      <c r="E33" s="1">
        <f t="shared" si="1"/>
        <v>1.041666666666663E-2</v>
      </c>
      <c r="N33" s="102">
        <v>0.93472222222222223</v>
      </c>
      <c r="O33" s="102">
        <v>0.94513888888888886</v>
      </c>
    </row>
    <row r="34" spans="1:17">
      <c r="A34" s="22">
        <f>Dienste!B105</f>
        <v>44578</v>
      </c>
      <c r="B34" s="5" t="str">
        <f>Dienste!C105</f>
        <v>44578 Dienst 1 Sa</v>
      </c>
      <c r="C34" s="5" t="str">
        <f>Dienste!D105</f>
        <v>Dienst 1 Sa</v>
      </c>
      <c r="D34" s="1">
        <f t="shared" si="0"/>
        <v>6.9444444444444198E-3</v>
      </c>
      <c r="E34" s="1">
        <f t="shared" si="1"/>
        <v>0</v>
      </c>
      <c r="G34" s="102">
        <v>0.23819444444444446</v>
      </c>
      <c r="H34" s="102">
        <v>0.24513888888888888</v>
      </c>
    </row>
    <row r="35" spans="1:17">
      <c r="A35" s="22">
        <f>Dienste!B106</f>
        <v>44578</v>
      </c>
      <c r="B35" s="5" t="str">
        <f>Dienste!C106</f>
        <v>44578 Dienst 2 Sa</v>
      </c>
      <c r="C35" s="5" t="str">
        <f>Dienste!D106</f>
        <v>Dienst 2 Sa</v>
      </c>
      <c r="D35" s="1">
        <f t="shared" si="0"/>
        <v>6.9444444444444198E-3</v>
      </c>
      <c r="E35" s="1">
        <f t="shared" si="1"/>
        <v>0</v>
      </c>
      <c r="G35" s="102">
        <v>0.2590277777777778</v>
      </c>
      <c r="H35" s="102">
        <v>0.26597222222222222</v>
      </c>
    </row>
    <row r="36" spans="1:17">
      <c r="A36" s="22">
        <f>Dienste!B107</f>
        <v>44578</v>
      </c>
      <c r="B36" s="5" t="str">
        <f>Dienste!C107</f>
        <v>44578 Dienst 3 Sa</v>
      </c>
      <c r="C36" s="5" t="str">
        <f>Dienste!D107</f>
        <v>Dienst 3 Sa</v>
      </c>
      <c r="D36" s="1">
        <f t="shared" si="0"/>
        <v>6.9444444444444475E-3</v>
      </c>
      <c r="E36" s="1">
        <f t="shared" si="1"/>
        <v>0</v>
      </c>
      <c r="G36" s="102">
        <v>0.24166666666666667</v>
      </c>
      <c r="H36" s="102">
        <v>0.24861111111111112</v>
      </c>
    </row>
    <row r="37" spans="1:17">
      <c r="A37" s="22">
        <f>Dienste!B108</f>
        <v>44578</v>
      </c>
      <c r="B37" s="5" t="str">
        <f>Dienste!C108</f>
        <v>44578 Dienst 4 Sa</v>
      </c>
      <c r="C37" s="5" t="str">
        <f>Dienste!D108</f>
        <v>Dienst 4 Sa</v>
      </c>
      <c r="D37" s="1">
        <f t="shared" si="0"/>
        <v>6.9444444444444753E-3</v>
      </c>
      <c r="E37" s="1">
        <f t="shared" si="1"/>
        <v>0</v>
      </c>
      <c r="G37" s="102">
        <v>0.22916666666666666</v>
      </c>
      <c r="H37" s="102">
        <v>0.23611111111111113</v>
      </c>
    </row>
    <row r="38" spans="1:17">
      <c r="A38" s="22">
        <f>Dienste!B109</f>
        <v>44578</v>
      </c>
      <c r="B38" s="5" t="str">
        <f>Dienste!C109</f>
        <v>44578 Dienst 5 Sa</v>
      </c>
      <c r="C38" s="5" t="str">
        <f>Dienste!D109</f>
        <v>Dienst 5 Sa</v>
      </c>
      <c r="D38" s="1">
        <f t="shared" si="0"/>
        <v>6.9444444444444475E-3</v>
      </c>
      <c r="E38" s="1">
        <f t="shared" si="1"/>
        <v>0</v>
      </c>
      <c r="G38" s="102">
        <v>0.24166666666666667</v>
      </c>
      <c r="H38" s="102">
        <v>0.24861111111111112</v>
      </c>
    </row>
    <row r="39" spans="1:17">
      <c r="A39" s="22">
        <f>Dienste!B110</f>
        <v>44578</v>
      </c>
      <c r="B39" s="5" t="str">
        <f>Dienste!C110</f>
        <v>44578 Dienst 6 Sa</v>
      </c>
      <c r="C39" s="5" t="str">
        <f>Dienste!D110</f>
        <v>Dienst 6 Sa</v>
      </c>
      <c r="D39" s="1">
        <f t="shared" si="0"/>
        <v>6.9444444444444475E-3</v>
      </c>
      <c r="E39" s="1">
        <f t="shared" si="1"/>
        <v>0</v>
      </c>
      <c r="G39" s="102">
        <v>0.24513888888888888</v>
      </c>
      <c r="H39" s="102">
        <v>0.25208333333333333</v>
      </c>
    </row>
    <row r="40" spans="1:17">
      <c r="A40" s="22">
        <f>Dienste!B111</f>
        <v>44578</v>
      </c>
      <c r="B40" s="5" t="str">
        <f>Dienste!C111</f>
        <v>44578 Dienst 7 Sa oR</v>
      </c>
      <c r="C40" s="5" t="str">
        <f>Dienste!D111</f>
        <v>Dienst 7 Sa oR</v>
      </c>
      <c r="D40" s="1">
        <f t="shared" si="0"/>
        <v>6.9444444444444198E-3</v>
      </c>
      <c r="E40" s="1">
        <f t="shared" si="1"/>
        <v>0</v>
      </c>
      <c r="G40" s="102">
        <v>0.23611111111111113</v>
      </c>
      <c r="H40" s="102">
        <v>0.24305555555555555</v>
      </c>
    </row>
    <row r="41" spans="1:17">
      <c r="A41" s="22">
        <f>Dienste!B112</f>
        <v>44578</v>
      </c>
      <c r="B41" s="5" t="str">
        <f>Dienste!C112</f>
        <v>44578 Dienst 7 Sa mR</v>
      </c>
      <c r="C41" s="5" t="str">
        <f>Dienste!D112</f>
        <v>Dienst 7 Sa mR</v>
      </c>
      <c r="D41" s="1">
        <f t="shared" si="0"/>
        <v>6.9444444444444198E-3</v>
      </c>
      <c r="E41" s="1">
        <f t="shared" si="1"/>
        <v>3.5416666666666652E-2</v>
      </c>
      <c r="G41" s="102">
        <v>0.23611111111111113</v>
      </c>
      <c r="H41" s="102">
        <v>0.24305555555555555</v>
      </c>
      <c r="I41" s="102"/>
      <c r="J41" s="102"/>
      <c r="N41" s="102"/>
      <c r="O41" s="102"/>
      <c r="P41" s="102">
        <v>0.51944444444444449</v>
      </c>
      <c r="Q41" s="102">
        <v>0.55486111111111114</v>
      </c>
    </row>
    <row r="42" spans="1:17">
      <c r="A42" s="22">
        <f>Dienste!B113</f>
        <v>44578</v>
      </c>
      <c r="B42" s="5" t="str">
        <f>Dienste!C113</f>
        <v>44578 Dienst 8 Sa</v>
      </c>
      <c r="C42" s="5" t="str">
        <f>Dienste!D113</f>
        <v>Dienst 8 Sa</v>
      </c>
      <c r="D42" s="1">
        <f t="shared" si="0"/>
        <v>6.9444444444444198E-3</v>
      </c>
      <c r="E42" s="1">
        <f t="shared" si="1"/>
        <v>0</v>
      </c>
      <c r="G42" s="102">
        <v>0.24722222222222223</v>
      </c>
      <c r="H42" s="102">
        <v>0.25416666666666665</v>
      </c>
    </row>
    <row r="43" spans="1:17">
      <c r="A43" s="22">
        <f>Dienste!B114</f>
        <v>44578</v>
      </c>
      <c r="B43" s="5" t="str">
        <f>Dienste!C114</f>
        <v>44578 Dienst 9 Sa</v>
      </c>
      <c r="C43" s="5" t="str">
        <f>Dienste!D114</f>
        <v>Dienst 9 Sa</v>
      </c>
      <c r="D43" s="1">
        <f t="shared" si="0"/>
        <v>6.9444444444444475E-3</v>
      </c>
      <c r="E43" s="1">
        <f t="shared" si="1"/>
        <v>0</v>
      </c>
      <c r="G43" s="102">
        <v>0.2388888888888889</v>
      </c>
      <c r="H43" s="102">
        <v>0.24583333333333335</v>
      </c>
    </row>
    <row r="44" spans="1:17">
      <c r="A44" s="22">
        <f>Dienste!B115</f>
        <v>44578</v>
      </c>
      <c r="B44" s="5" t="str">
        <f>Dienste!C115</f>
        <v>44578 Dienst 10 Sa</v>
      </c>
      <c r="C44" s="5" t="str">
        <f>Dienste!D115</f>
        <v>Dienst 10 Sa</v>
      </c>
      <c r="D44" s="1">
        <f t="shared" si="0"/>
        <v>6.9444444444444198E-3</v>
      </c>
      <c r="E44" s="1">
        <f t="shared" si="1"/>
        <v>0</v>
      </c>
      <c r="G44" s="102">
        <v>0.22638888888888889</v>
      </c>
      <c r="H44" s="102">
        <v>0.23333333333333331</v>
      </c>
    </row>
    <row r="45" spans="1:17">
      <c r="A45" s="22">
        <f>Dienste!B116</f>
        <v>44578</v>
      </c>
      <c r="B45" s="5" t="str">
        <f>Dienste!C116</f>
        <v>44578 Dienst 11 Sa oR</v>
      </c>
      <c r="C45" s="5" t="str">
        <f>Dienste!D116</f>
        <v>Dienst 11 Sa oR</v>
      </c>
      <c r="D45" s="1">
        <f t="shared" si="0"/>
        <v>6.9444444444444198E-3</v>
      </c>
      <c r="E45" s="1">
        <f t="shared" si="1"/>
        <v>0</v>
      </c>
      <c r="G45" s="102">
        <v>0.24722222222222223</v>
      </c>
      <c r="H45" s="102">
        <v>0.25416666666666665</v>
      </c>
    </row>
    <row r="46" spans="1:17">
      <c r="A46" s="22">
        <f>Dienste!B117</f>
        <v>44578</v>
      </c>
      <c r="B46" s="5" t="str">
        <f>Dienste!C117</f>
        <v>44578 Dienst 11 Sa mR</v>
      </c>
      <c r="C46" s="5" t="str">
        <f>Dienste!D117</f>
        <v>Dienst 11 Sa mR</v>
      </c>
      <c r="D46" s="1">
        <f t="shared" si="0"/>
        <v>6.9444444444444198E-3</v>
      </c>
      <c r="E46" s="1">
        <f t="shared" si="1"/>
        <v>6.1111111111111172E-2</v>
      </c>
      <c r="G46" s="102">
        <v>0.24722222222222223</v>
      </c>
      <c r="H46" s="102">
        <v>0.25416666666666665</v>
      </c>
      <c r="I46" s="102"/>
      <c r="J46" s="102"/>
      <c r="P46" s="102">
        <v>0.45694444444444443</v>
      </c>
      <c r="Q46" s="102">
        <v>0.5180555555555556</v>
      </c>
    </row>
    <row r="47" spans="1:17">
      <c r="A47" s="22">
        <f>Dienste!B118</f>
        <v>44578</v>
      </c>
      <c r="B47" s="5" t="str">
        <f>Dienste!C118</f>
        <v>44578 Dienst 12 Sa</v>
      </c>
      <c r="C47" s="5" t="str">
        <f>Dienste!D118</f>
        <v>Dienst 12 Sa</v>
      </c>
      <c r="D47" s="1">
        <f t="shared" si="0"/>
        <v>6.9444444444444198E-3</v>
      </c>
      <c r="E47" s="1">
        <f t="shared" si="1"/>
        <v>0</v>
      </c>
      <c r="G47" s="102">
        <v>0.24722222222222223</v>
      </c>
      <c r="H47" s="102">
        <v>0.25416666666666665</v>
      </c>
    </row>
    <row r="48" spans="1:17">
      <c r="A48" s="22">
        <f>Dienste!B119</f>
        <v>44578</v>
      </c>
      <c r="B48" s="5" t="str">
        <f>Dienste!C119</f>
        <v>44578 Dienst 13 Sa</v>
      </c>
      <c r="C48" s="5" t="str">
        <f>Dienste!D119</f>
        <v>Dienst 13 Sa</v>
      </c>
      <c r="D48" s="1">
        <f t="shared" si="0"/>
        <v>0</v>
      </c>
      <c r="E48" s="1">
        <f t="shared" si="1"/>
        <v>1.0416666666666741E-2</v>
      </c>
      <c r="N48" s="102">
        <v>0.91388888888888886</v>
      </c>
      <c r="O48" s="102">
        <v>0.9243055555555556</v>
      </c>
    </row>
    <row r="49" spans="1:17">
      <c r="A49" s="22">
        <f>Dienste!B120</f>
        <v>44578</v>
      </c>
      <c r="B49" s="5" t="str">
        <f>Dienste!C120</f>
        <v>44578 Dienst 14 Sa</v>
      </c>
      <c r="C49" s="5" t="str">
        <f>Dienste!D120</f>
        <v>Dienst 14 Sa</v>
      </c>
      <c r="D49" s="1">
        <f t="shared" si="0"/>
        <v>0</v>
      </c>
      <c r="E49" s="1">
        <f t="shared" si="1"/>
        <v>1.0416666666666741E-2</v>
      </c>
      <c r="N49" s="102">
        <v>0.93958333333333333</v>
      </c>
      <c r="O49" s="102">
        <v>0.95000000000000007</v>
      </c>
    </row>
    <row r="50" spans="1:17">
      <c r="A50" s="22">
        <f>Dienste!B121</f>
        <v>44578</v>
      </c>
      <c r="B50" s="5" t="str">
        <f>Dienste!C121</f>
        <v>44578 Dienst 15 Sa</v>
      </c>
      <c r="C50" s="5" t="str">
        <f>Dienste!D121</f>
        <v>Dienst 15 Sa</v>
      </c>
      <c r="D50" s="1">
        <f t="shared" si="0"/>
        <v>0</v>
      </c>
      <c r="E50" s="1">
        <f t="shared" si="1"/>
        <v>1.041666666666663E-2</v>
      </c>
      <c r="N50" s="102">
        <v>0.95763888888888893</v>
      </c>
      <c r="O50" s="102">
        <v>0.96805555555555556</v>
      </c>
    </row>
    <row r="51" spans="1:17">
      <c r="A51" s="22">
        <f>Dienste!B122</f>
        <v>44578</v>
      </c>
      <c r="B51" s="5" t="str">
        <f>Dienste!C122</f>
        <v>44578 Dienst 16 Sa</v>
      </c>
      <c r="C51" s="5" t="str">
        <f>Dienste!D122</f>
        <v>Dienst 16 Sa</v>
      </c>
      <c r="D51" s="1">
        <f t="shared" si="0"/>
        <v>0</v>
      </c>
      <c r="E51" s="1">
        <f t="shared" si="1"/>
        <v>1.041666666666663E-2</v>
      </c>
      <c r="N51" s="102">
        <v>0.95208333333333339</v>
      </c>
      <c r="O51" s="102">
        <v>0.96250000000000002</v>
      </c>
    </row>
    <row r="52" spans="1:17">
      <c r="A52" s="22">
        <f>Dienste!B123</f>
        <v>44578</v>
      </c>
      <c r="B52" s="5" t="str">
        <f>Dienste!C123</f>
        <v>44578 Dienst 17 Sa</v>
      </c>
      <c r="C52" s="5" t="str">
        <f>Dienste!D123</f>
        <v>Dienst 17 Sa</v>
      </c>
      <c r="D52" s="1">
        <f t="shared" si="0"/>
        <v>0</v>
      </c>
      <c r="E52" s="1">
        <f t="shared" si="1"/>
        <v>1.041666666666663E-2</v>
      </c>
      <c r="N52" s="102">
        <v>0.92569444444444438</v>
      </c>
      <c r="O52" s="102">
        <v>0.93611111111111101</v>
      </c>
    </row>
    <row r="53" spans="1:17">
      <c r="A53" s="22">
        <f>Dienste!B124</f>
        <v>44578</v>
      </c>
      <c r="B53" s="5" t="str">
        <f>Dienste!C124</f>
        <v>44578 Dienst 18 Sa</v>
      </c>
      <c r="C53" s="5" t="str">
        <f>Dienste!D124</f>
        <v>Dienst 18 Sa</v>
      </c>
      <c r="D53" s="1">
        <f t="shared" si="0"/>
        <v>0</v>
      </c>
      <c r="E53" s="1">
        <f t="shared" si="1"/>
        <v>1.041666666666663E-2</v>
      </c>
      <c r="N53" s="102">
        <v>0.91875000000000007</v>
      </c>
      <c r="O53" s="102">
        <v>0.9291666666666667</v>
      </c>
    </row>
    <row r="54" spans="1:17">
      <c r="A54" s="22">
        <f>Dienste!B125</f>
        <v>44578</v>
      </c>
      <c r="B54" s="5" t="str">
        <f>Dienste!C125</f>
        <v>44578 Dienst 19 Sa</v>
      </c>
      <c r="C54" s="5" t="str">
        <f>Dienste!D125</f>
        <v>Dienst 19 Sa</v>
      </c>
      <c r="D54" s="1">
        <f t="shared" si="0"/>
        <v>0</v>
      </c>
      <c r="E54" s="1">
        <f t="shared" si="1"/>
        <v>1.041666666666663E-2</v>
      </c>
      <c r="N54" s="102">
        <v>0.93541666666666667</v>
      </c>
      <c r="O54" s="102">
        <v>0.9458333333333333</v>
      </c>
    </row>
    <row r="55" spans="1:17">
      <c r="A55" s="22">
        <f>Dienste!B126</f>
        <v>44578</v>
      </c>
      <c r="B55" s="5" t="str">
        <f>Dienste!C126</f>
        <v>44578 Dienst 20 Sa oR</v>
      </c>
      <c r="C55" s="5" t="str">
        <f>Dienste!D126</f>
        <v>Dienst 20 Sa oR</v>
      </c>
      <c r="D55" s="1">
        <f t="shared" si="0"/>
        <v>0</v>
      </c>
      <c r="E55" s="1">
        <f t="shared" si="1"/>
        <v>1.041666666666663E-2</v>
      </c>
      <c r="N55" s="102">
        <v>0.9375</v>
      </c>
      <c r="O55" s="102">
        <v>0.94791666666666663</v>
      </c>
    </row>
    <row r="56" spans="1:17">
      <c r="A56" s="22">
        <f>Dienste!B127</f>
        <v>44578</v>
      </c>
      <c r="B56" s="5" t="str">
        <f>Dienste!C127</f>
        <v>44578 Dienst 20 Sa mR</v>
      </c>
      <c r="C56" s="5" t="str">
        <f>Dienste!D127</f>
        <v>Dienst 20 Sa mR</v>
      </c>
      <c r="D56" s="1">
        <f t="shared" si="0"/>
        <v>1.1805555555555625E-2</v>
      </c>
      <c r="E56" s="1">
        <f t="shared" si="1"/>
        <v>1.041666666666663E-2</v>
      </c>
      <c r="I56" s="102">
        <v>0.63541666666666663</v>
      </c>
      <c r="J56" s="102">
        <v>0.64722222222222225</v>
      </c>
      <c r="N56" s="102">
        <v>0.9375</v>
      </c>
      <c r="O56" s="102">
        <v>0.94791666666666663</v>
      </c>
      <c r="P56" s="102"/>
      <c r="Q56" s="102"/>
    </row>
    <row r="57" spans="1:17">
      <c r="A57" s="22">
        <f>Dienste!B128</f>
        <v>44578</v>
      </c>
      <c r="B57" s="5" t="str">
        <f>Dienste!C128</f>
        <v>44578 Dienst 21 Sa</v>
      </c>
      <c r="C57" s="5" t="str">
        <f>Dienste!D128</f>
        <v>Dienst 21 Sa</v>
      </c>
      <c r="D57" s="1">
        <f t="shared" si="0"/>
        <v>0</v>
      </c>
      <c r="E57" s="1">
        <f t="shared" si="1"/>
        <v>1.041666666666663E-2</v>
      </c>
      <c r="N57" s="102">
        <v>0.93194444444444446</v>
      </c>
      <c r="O57" s="102">
        <v>0.94236111111111109</v>
      </c>
    </row>
    <row r="58" spans="1:17">
      <c r="A58" s="22">
        <f>Dienste!B129</f>
        <v>44578</v>
      </c>
      <c r="B58" s="5" t="str">
        <f>Dienste!C129</f>
        <v>44578 Dienst 22 Sa</v>
      </c>
      <c r="C58" s="5" t="str">
        <f>Dienste!D129</f>
        <v>Dienst 22 Sa</v>
      </c>
      <c r="D58" s="1">
        <f t="shared" si="0"/>
        <v>0</v>
      </c>
      <c r="E58" s="1">
        <f t="shared" si="1"/>
        <v>1.041666666666663E-2</v>
      </c>
      <c r="N58" s="102">
        <v>0.93472222222222223</v>
      </c>
      <c r="O58" s="102">
        <v>0.94513888888888886</v>
      </c>
    </row>
    <row r="59" spans="1:17">
      <c r="A59" s="22">
        <f>Dienste!B130</f>
        <v>44578</v>
      </c>
      <c r="B59" s="5" t="str">
        <f>Dienste!C130</f>
        <v>44578 Dienst 23 Sa oR</v>
      </c>
      <c r="C59" s="5" t="str">
        <f>Dienste!D130</f>
        <v>Dienst 23 Sa oR</v>
      </c>
      <c r="D59" s="1">
        <f t="shared" si="0"/>
        <v>0</v>
      </c>
      <c r="E59" s="1">
        <f t="shared" si="1"/>
        <v>1.041666666666663E-2</v>
      </c>
      <c r="N59" s="102">
        <v>0.96319444444444446</v>
      </c>
      <c r="O59" s="102">
        <v>0.97361111111111109</v>
      </c>
    </row>
    <row r="60" spans="1:17">
      <c r="A60" s="22">
        <f>Dienste!B131</f>
        <v>44578</v>
      </c>
      <c r="B60" s="5" t="str">
        <f>Dienste!C131</f>
        <v>44578 Dienst 23 Sa mR</v>
      </c>
      <c r="C60" s="5" t="str">
        <f>Dienste!D131</f>
        <v>Dienst 23 Sa mR</v>
      </c>
      <c r="D60" s="1">
        <f t="shared" si="0"/>
        <v>3.1250000000000111E-2</v>
      </c>
      <c r="E60" s="1">
        <f t="shared" si="1"/>
        <v>1.041666666666663E-2</v>
      </c>
      <c r="I60" s="102">
        <v>0.65763888888888888</v>
      </c>
      <c r="J60" s="102">
        <v>0.68888888888888899</v>
      </c>
      <c r="N60" s="102">
        <v>0.96319444444444446</v>
      </c>
      <c r="O60" s="102">
        <v>0.97361111111111109</v>
      </c>
      <c r="P60" s="102"/>
      <c r="Q60" s="102"/>
    </row>
    <row r="61" spans="1:17">
      <c r="A61" s="22">
        <f>Dienste!B132</f>
        <v>44578</v>
      </c>
      <c r="B61" s="5" t="str">
        <f>Dienste!C132</f>
        <v>44578 Dienst 24 Sa</v>
      </c>
      <c r="C61" s="5" t="str">
        <f>Dienste!D132</f>
        <v>Dienst 24 Sa</v>
      </c>
      <c r="D61" s="1">
        <f t="shared" si="0"/>
        <v>0</v>
      </c>
      <c r="E61" s="1">
        <f t="shared" si="1"/>
        <v>1.041666666666663E-2</v>
      </c>
      <c r="N61" s="102">
        <v>0.95277777777777783</v>
      </c>
      <c r="O61" s="102">
        <v>0.96319444444444446</v>
      </c>
    </row>
    <row r="62" spans="1:17">
      <c r="A62" s="22">
        <f>Dienste!B133</f>
        <v>44578</v>
      </c>
      <c r="B62" s="5" t="str">
        <f>Dienste!C133</f>
        <v>44578 Dienst 1 SoF</v>
      </c>
      <c r="C62" s="5" t="str">
        <f>Dienste!D133</f>
        <v>Dienst 1 SoF</v>
      </c>
      <c r="D62" s="1">
        <f t="shared" si="0"/>
        <v>6.9444444444444753E-3</v>
      </c>
      <c r="E62" s="1">
        <f t="shared" si="1"/>
        <v>1.041666666666663E-2</v>
      </c>
      <c r="G62" s="102">
        <v>0.28055555555555556</v>
      </c>
      <c r="H62" s="102">
        <v>0.28750000000000003</v>
      </c>
      <c r="N62" s="102">
        <v>0.87847222222222221</v>
      </c>
      <c r="O62" s="102">
        <v>0.88888888888888884</v>
      </c>
    </row>
    <row r="63" spans="1:17">
      <c r="A63" s="22">
        <f>Dienste!B134</f>
        <v>44578</v>
      </c>
      <c r="B63" s="5" t="str">
        <f>Dienste!C134</f>
        <v>44578 Dienst 2 SoF</v>
      </c>
      <c r="C63" s="5" t="str">
        <f>Dienste!D134</f>
        <v>Dienst 2 SoF</v>
      </c>
      <c r="D63" s="1">
        <f t="shared" ref="D63:D71" si="4">(H63-G63)+(J63-I63)+(L63-K63)</f>
        <v>6.9444444444444753E-3</v>
      </c>
      <c r="E63" s="1">
        <f t="shared" ref="E63:E71" si="5">(O63-N63)+(Q63-P63)+(S63-R63)</f>
        <v>0</v>
      </c>
      <c r="G63" s="102">
        <v>0.30486111111111108</v>
      </c>
      <c r="H63" s="102">
        <v>0.31180555555555556</v>
      </c>
    </row>
    <row r="64" spans="1:17">
      <c r="A64" s="22">
        <f>Dienste!B135</f>
        <v>44578</v>
      </c>
      <c r="B64" s="5" t="str">
        <f>Dienste!C135</f>
        <v>44578 Dienst 3 SoF</v>
      </c>
      <c r="C64" s="5" t="str">
        <f>Dienste!D135</f>
        <v>Dienst 3 SoF</v>
      </c>
      <c r="D64" s="1">
        <f t="shared" si="4"/>
        <v>6.9444444444444198E-3</v>
      </c>
      <c r="E64" s="1">
        <f t="shared" si="5"/>
        <v>0</v>
      </c>
      <c r="G64" s="102">
        <v>0.27777777777777779</v>
      </c>
      <c r="H64" s="102">
        <v>0.28472222222222221</v>
      </c>
    </row>
    <row r="65" spans="1:15">
      <c r="A65" s="22">
        <f>Dienste!B136</f>
        <v>44578</v>
      </c>
      <c r="B65" s="5" t="str">
        <f>Dienste!C136</f>
        <v>44578 Dienst 4 SoF</v>
      </c>
      <c r="C65" s="5" t="str">
        <f>Dienste!D136</f>
        <v>Dienst 4 SoF</v>
      </c>
      <c r="D65" s="1">
        <f t="shared" si="4"/>
        <v>6.9444444444444753E-3</v>
      </c>
      <c r="E65" s="1">
        <f t="shared" si="5"/>
        <v>1.041666666666663E-2</v>
      </c>
      <c r="G65" s="102">
        <v>0.30069444444444443</v>
      </c>
      <c r="H65" s="102">
        <v>0.30763888888888891</v>
      </c>
      <c r="N65" s="102">
        <v>0.85555555555555562</v>
      </c>
      <c r="O65" s="102">
        <v>0.86597222222222225</v>
      </c>
    </row>
    <row r="66" spans="1:15">
      <c r="A66" s="22">
        <f>Dienste!B137</f>
        <v>44578</v>
      </c>
      <c r="B66" s="5" t="str">
        <f>Dienste!C137</f>
        <v>44578 Dienst 5 SoF</v>
      </c>
      <c r="C66" s="5" t="str">
        <f>Dienste!D137</f>
        <v>Dienst 5 SoF</v>
      </c>
      <c r="D66" s="1">
        <f t="shared" si="4"/>
        <v>0</v>
      </c>
      <c r="E66" s="1">
        <f t="shared" si="5"/>
        <v>1.041666666666663E-2</v>
      </c>
      <c r="N66" s="102">
        <v>0.8520833333333333</v>
      </c>
      <c r="O66" s="102">
        <v>0.86249999999999993</v>
      </c>
    </row>
    <row r="67" spans="1:15">
      <c r="A67" s="22">
        <f>Dienste!B138</f>
        <v>44578</v>
      </c>
      <c r="B67" s="5" t="str">
        <f>Dienste!C138</f>
        <v>44578 Dienst 6 SoF</v>
      </c>
      <c r="C67" s="5" t="str">
        <f>Dienste!D138</f>
        <v>Dienst 6 SoF</v>
      </c>
      <c r="D67" s="1">
        <f t="shared" si="4"/>
        <v>6.9444444444444198E-3</v>
      </c>
      <c r="E67" s="1">
        <f t="shared" si="5"/>
        <v>1.041666666666663E-2</v>
      </c>
      <c r="G67" s="102">
        <v>0.26805555555555555</v>
      </c>
      <c r="H67" s="102">
        <v>0.27499999999999997</v>
      </c>
      <c r="N67" s="102">
        <v>0.87916666666666676</v>
      </c>
      <c r="O67" s="102">
        <v>0.88958333333333339</v>
      </c>
    </row>
    <row r="68" spans="1:15">
      <c r="A68" s="22">
        <f>Dienste!B139</f>
        <v>44578</v>
      </c>
      <c r="B68" s="5" t="str">
        <f>Dienste!C139</f>
        <v>44578 Dienst 7 SoF</v>
      </c>
      <c r="C68" s="5" t="str">
        <f>Dienste!D139</f>
        <v>Dienst 7 SoF</v>
      </c>
      <c r="D68" s="1">
        <f t="shared" si="4"/>
        <v>6.9444444444444198E-3</v>
      </c>
      <c r="E68" s="1">
        <f t="shared" si="5"/>
        <v>1.0416666666666741E-2</v>
      </c>
      <c r="G68" s="102">
        <v>0.26805555555555555</v>
      </c>
      <c r="H68" s="102">
        <v>0.27499999999999997</v>
      </c>
      <c r="N68" s="102">
        <v>0.88263888888888886</v>
      </c>
      <c r="O68" s="102">
        <v>0.8930555555555556</v>
      </c>
    </row>
    <row r="69" spans="1:15">
      <c r="A69" s="22">
        <f>Dienste!B140</f>
        <v>44578</v>
      </c>
      <c r="B69" s="5" t="str">
        <f>Dienste!C140</f>
        <v>44578 Dienst 8 SoF</v>
      </c>
      <c r="C69" s="5" t="str">
        <f>Dienste!D140</f>
        <v>Dienst 8 SoF</v>
      </c>
      <c r="D69" s="1">
        <f t="shared" si="4"/>
        <v>0</v>
      </c>
      <c r="E69" s="1">
        <f t="shared" si="5"/>
        <v>1.041666666666663E-2</v>
      </c>
      <c r="N69" s="102">
        <v>0.88402777777777775</v>
      </c>
      <c r="O69" s="102">
        <v>0.89444444444444438</v>
      </c>
    </row>
    <row r="70" spans="1:15">
      <c r="A70" s="22">
        <f>Dienste!B141</f>
        <v>44578</v>
      </c>
      <c r="B70" s="5" t="str">
        <f>Dienste!C141</f>
        <v>44578 Dienst 9 SoF</v>
      </c>
      <c r="C70" s="5" t="str">
        <f>Dienste!D141</f>
        <v>Dienst 9 SoF</v>
      </c>
      <c r="D70" s="1">
        <f t="shared" si="4"/>
        <v>0</v>
      </c>
      <c r="E70" s="1">
        <f t="shared" si="5"/>
        <v>1.0416666666666741E-2</v>
      </c>
      <c r="N70" s="102">
        <v>0.87986111111111109</v>
      </c>
      <c r="O70" s="102">
        <v>0.89027777777777783</v>
      </c>
    </row>
    <row r="71" spans="1:15">
      <c r="A71" s="22">
        <f>Dienste!B142</f>
        <v>44578</v>
      </c>
      <c r="B71" s="5" t="str">
        <f>Dienste!C142</f>
        <v>44578 Dienst 10 SoF</v>
      </c>
      <c r="C71" s="5" t="str">
        <f>Dienste!D142</f>
        <v>Dienst 10 SoF</v>
      </c>
      <c r="D71" s="1">
        <f t="shared" si="4"/>
        <v>6.9444444444444198E-3</v>
      </c>
      <c r="E71" s="1">
        <f t="shared" si="5"/>
        <v>0</v>
      </c>
      <c r="G71" s="102">
        <v>0.27777777777777779</v>
      </c>
      <c r="H71" s="102">
        <v>0.28472222222222221</v>
      </c>
    </row>
  </sheetData>
  <pageMargins left="0.7" right="0.7" top="0.78740157499999996" bottom="0.78740157499999996" header="0.3" footer="0.3"/>
  <pageSetup paperSize="9" orientation="portrait" r:id="rId1"/>
  <ignoredErrors>
    <ignoredError xmlns:x16r3="http://schemas.microsoft.com/office/spreadsheetml/2018/08/main" sqref="A5" x16r3:misleadingForma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6E21-7342-4452-B3DD-DF79F6631B85}">
  <dimension ref="A2:O71"/>
  <sheetViews>
    <sheetView topLeftCell="A7" zoomScaleNormal="100" workbookViewId="0">
      <selection activeCell="W19" sqref="W19"/>
    </sheetView>
  </sheetViews>
  <sheetFormatPr defaultColWidth="10.6328125" defaultRowHeight="14.5"/>
  <cols>
    <col min="1" max="1" width="10.6328125" style="5"/>
    <col min="2" max="2" width="17.08984375" style="5" hidden="1" customWidth="1"/>
    <col min="3" max="3" width="13.1796875" style="5" bestFit="1" customWidth="1"/>
    <col min="4" max="4" width="10.6328125" style="5"/>
    <col min="5" max="5" width="5.08984375" style="5" customWidth="1"/>
    <col min="6" max="15" width="10.6328125" style="100"/>
    <col min="16" max="16384" width="10.6328125" style="5"/>
  </cols>
  <sheetData>
    <row r="2" spans="1:15" s="2" customFormat="1">
      <c r="C2" s="3" t="s">
        <v>16</v>
      </c>
      <c r="D2" s="2" t="s">
        <v>11</v>
      </c>
      <c r="F2" s="107" t="s">
        <v>152</v>
      </c>
      <c r="G2" s="107" t="s">
        <v>153</v>
      </c>
      <c r="H2" s="107" t="s">
        <v>152</v>
      </c>
      <c r="I2" s="107" t="s">
        <v>153</v>
      </c>
      <c r="J2" s="107" t="s">
        <v>152</v>
      </c>
      <c r="K2" s="107" t="s">
        <v>153</v>
      </c>
      <c r="L2" s="107" t="s">
        <v>152</v>
      </c>
      <c r="M2" s="107" t="s">
        <v>153</v>
      </c>
      <c r="N2" s="107" t="s">
        <v>152</v>
      </c>
      <c r="O2" s="107" t="s">
        <v>153</v>
      </c>
    </row>
    <row r="3" spans="1:15">
      <c r="C3" s="5" t="str">
        <f>Dienste!C3</f>
        <v xml:space="preserve"> Krankenstand</v>
      </c>
    </row>
    <row r="4" spans="1:15">
      <c r="C4" s="5" t="str">
        <f>Dienste!D4</f>
        <v>Urlaub</v>
      </c>
    </row>
    <row r="5" spans="1:15">
      <c r="A5" s="22">
        <f>Dienste!B76</f>
        <v>44578</v>
      </c>
      <c r="B5" s="5" t="str">
        <f>Dienste!C76</f>
        <v>44578 Dienst 1</v>
      </c>
      <c r="C5" s="5" t="str">
        <f>Dienste!D76</f>
        <v>Dienst 1</v>
      </c>
      <c r="D5" s="1">
        <f>(G5-F5)+(I5-H5)+(K5-J5)+(M5-L5)+(O5-N5)</f>
        <v>3.6111111111111149E-2</v>
      </c>
      <c r="E5" s="1"/>
      <c r="F5" s="102">
        <v>0.37638888888888888</v>
      </c>
      <c r="G5" s="102">
        <v>0.41250000000000003</v>
      </c>
      <c r="H5" s="102"/>
      <c r="I5" s="102"/>
      <c r="J5" s="102"/>
      <c r="K5" s="102"/>
    </row>
    <row r="6" spans="1:15">
      <c r="A6" s="22">
        <f>Dienste!B77</f>
        <v>44578</v>
      </c>
      <c r="B6" s="5" t="str">
        <f>Dienste!C77</f>
        <v>44578 Dienst 2</v>
      </c>
      <c r="C6" s="5" t="str">
        <f>Dienste!D77</f>
        <v>Dienst 2</v>
      </c>
      <c r="D6" s="1">
        <f t="shared" ref="D6:D62" si="0">(G6-F6)+(I6-H6)+(K6-J6)+(M6-L6)+(O6-N6)</f>
        <v>9.6527777777777879E-2</v>
      </c>
      <c r="F6" s="102">
        <v>0.41041666666666665</v>
      </c>
      <c r="G6" s="102">
        <v>0.46319444444444446</v>
      </c>
      <c r="H6" s="102">
        <v>0.53541666666666665</v>
      </c>
      <c r="I6" s="102">
        <v>0.57916666666666672</v>
      </c>
    </row>
    <row r="7" spans="1:15">
      <c r="A7" s="22">
        <f>Dienste!B78</f>
        <v>44578</v>
      </c>
      <c r="B7" s="5" t="str">
        <f>Dienste!C78</f>
        <v>44578 Dienst 3</v>
      </c>
      <c r="C7" s="5" t="str">
        <f>Dienste!D78</f>
        <v>Dienst 3</v>
      </c>
      <c r="D7" s="1">
        <f t="shared" si="0"/>
        <v>4.7916666666666663E-2</v>
      </c>
      <c r="F7" s="102">
        <v>0.3923611111111111</v>
      </c>
      <c r="G7" s="102">
        <v>0.44027777777777777</v>
      </c>
    </row>
    <row r="8" spans="1:15">
      <c r="A8" s="22">
        <f>Dienste!B79</f>
        <v>44578</v>
      </c>
      <c r="B8" s="5" t="str">
        <f>Dienste!C79</f>
        <v>44578 Dienst 4</v>
      </c>
      <c r="C8" s="5" t="str">
        <f>Dienste!D79</f>
        <v>Dienst 4</v>
      </c>
      <c r="D8" s="1">
        <f t="shared" si="0"/>
        <v>9.5138888888888828E-2</v>
      </c>
      <c r="F8" s="102">
        <v>0.35138888888888892</v>
      </c>
      <c r="G8" s="102">
        <v>0.37777777777777777</v>
      </c>
      <c r="H8" s="102">
        <v>0.43402777777777773</v>
      </c>
      <c r="I8" s="102">
        <v>0.45833333333333331</v>
      </c>
      <c r="J8" s="102">
        <v>0.5805555555555556</v>
      </c>
      <c r="K8" s="102">
        <v>0.625</v>
      </c>
    </row>
    <row r="9" spans="1:15">
      <c r="A9" s="22">
        <f>Dienste!B80</f>
        <v>44578</v>
      </c>
      <c r="B9" s="5" t="str">
        <f>Dienste!C80</f>
        <v>44578 Dienst 5</v>
      </c>
      <c r="C9" s="5" t="str">
        <f>Dienste!D80</f>
        <v>Dienst 5</v>
      </c>
      <c r="D9" s="1">
        <f t="shared" si="0"/>
        <v>4.7222222222222221E-2</v>
      </c>
      <c r="F9" s="102">
        <v>0.37222222222222223</v>
      </c>
      <c r="G9" s="102">
        <v>0.41944444444444445</v>
      </c>
    </row>
    <row r="10" spans="1:15">
      <c r="A10" s="22">
        <f>Dienste!B81</f>
        <v>44578</v>
      </c>
      <c r="B10" s="5" t="str">
        <f>Dienste!C81</f>
        <v>44578 Dienst 6</v>
      </c>
      <c r="C10" s="5" t="str">
        <f>Dienste!D81</f>
        <v>Dienst 6</v>
      </c>
      <c r="D10" s="1">
        <f t="shared" si="0"/>
        <v>6.8055555555555536E-2</v>
      </c>
      <c r="F10" s="102">
        <v>0.39305555555555555</v>
      </c>
      <c r="G10" s="102">
        <v>0.46111111111111108</v>
      </c>
    </row>
    <row r="11" spans="1:15">
      <c r="A11" s="22">
        <f>Dienste!B82</f>
        <v>44578</v>
      </c>
      <c r="B11" s="5" t="str">
        <f>Dienste!C82</f>
        <v>44578 Dienst 7</v>
      </c>
      <c r="C11" s="5" t="str">
        <f>Dienste!D82</f>
        <v>Dienst 7</v>
      </c>
      <c r="D11" s="1">
        <f t="shared" si="0"/>
        <v>4.5138888888888895E-2</v>
      </c>
      <c r="F11" s="102">
        <v>0.35069444444444442</v>
      </c>
      <c r="G11" s="102">
        <v>0.39583333333333331</v>
      </c>
    </row>
    <row r="12" spans="1:15">
      <c r="A12" s="22">
        <f>Dienste!B83</f>
        <v>44578</v>
      </c>
      <c r="B12" s="5" t="str">
        <f>Dienste!C83</f>
        <v>44578 Dienst 8</v>
      </c>
      <c r="C12" s="5" t="str">
        <f>Dienste!D83</f>
        <v>Dienst 8</v>
      </c>
      <c r="D12" s="1">
        <f t="shared" si="0"/>
        <v>7.7083333333333504E-2</v>
      </c>
      <c r="F12" s="102">
        <v>0.3972222222222222</v>
      </c>
      <c r="G12" s="102">
        <v>0.44236111111111115</v>
      </c>
      <c r="H12" s="102">
        <v>0.57708333333333328</v>
      </c>
      <c r="I12" s="102">
        <v>0.60902777777777783</v>
      </c>
    </row>
    <row r="13" spans="1:15">
      <c r="A13" s="22">
        <f>Dienste!B84</f>
        <v>44578</v>
      </c>
      <c r="B13" s="5" t="str">
        <f>Dienste!C84</f>
        <v>44578 Dienst 9</v>
      </c>
      <c r="C13" s="5" t="str">
        <f>Dienste!D84</f>
        <v>Dienst 9</v>
      </c>
      <c r="D13" s="1">
        <f t="shared" si="0"/>
        <v>5.1388888888888928E-2</v>
      </c>
      <c r="F13" s="102">
        <v>0.3298611111111111</v>
      </c>
      <c r="G13" s="102">
        <v>0.35694444444444445</v>
      </c>
      <c r="H13" s="102">
        <v>0.41319444444444442</v>
      </c>
      <c r="I13" s="102">
        <v>0.4375</v>
      </c>
    </row>
    <row r="14" spans="1:15">
      <c r="A14" s="22">
        <f>Dienste!B85</f>
        <v>44578</v>
      </c>
      <c r="B14" s="5" t="str">
        <f>Dienste!C85</f>
        <v>44578 Dienst 10</v>
      </c>
      <c r="C14" s="5" t="str">
        <f>Dienste!D85</f>
        <v>Dienst 10</v>
      </c>
      <c r="D14" s="1">
        <f t="shared" si="0"/>
        <v>0.15347222222222223</v>
      </c>
      <c r="F14" s="102">
        <v>0.35069444444444442</v>
      </c>
      <c r="G14" s="102">
        <v>0.39583333333333331</v>
      </c>
      <c r="H14" s="102">
        <v>0.45694444444444443</v>
      </c>
      <c r="I14" s="102">
        <v>0.5</v>
      </c>
      <c r="J14" s="102">
        <v>0.62222222222222223</v>
      </c>
      <c r="K14" s="102">
        <v>0.6875</v>
      </c>
    </row>
    <row r="15" spans="1:15">
      <c r="A15" s="22">
        <f>Dienste!B86</f>
        <v>44578</v>
      </c>
      <c r="B15" s="5" t="str">
        <f>Dienste!C86</f>
        <v>44578 Dienst 11</v>
      </c>
      <c r="C15" s="5" t="str">
        <f>Dienste!D86</f>
        <v>Dienst 11</v>
      </c>
      <c r="D15" s="1">
        <f t="shared" si="0"/>
        <v>0.12777777777777777</v>
      </c>
      <c r="F15" s="102">
        <v>0.39444444444444443</v>
      </c>
      <c r="G15" s="102">
        <v>0.45833333333333331</v>
      </c>
      <c r="H15" s="102">
        <v>0.62361111111111112</v>
      </c>
      <c r="I15" s="102">
        <v>0.6875</v>
      </c>
    </row>
    <row r="16" spans="1:15">
      <c r="A16" s="22">
        <f>Dienste!B87</f>
        <v>44578</v>
      </c>
      <c r="B16" s="5" t="str">
        <f>Dienste!C87</f>
        <v>44578 Dienst 12</v>
      </c>
      <c r="C16" s="5" t="str">
        <f>Dienste!D87</f>
        <v>Dienst 12</v>
      </c>
      <c r="D16" s="1">
        <f t="shared" si="0"/>
        <v>4.4444444444444453E-2</v>
      </c>
      <c r="F16" s="102">
        <v>0.39305555555555555</v>
      </c>
      <c r="G16" s="102">
        <v>0.4375</v>
      </c>
    </row>
    <row r="17" spans="1:13">
      <c r="A17" s="22">
        <f>Dienste!B88</f>
        <v>44578</v>
      </c>
      <c r="B17" s="5" t="str">
        <f>Dienste!C88</f>
        <v>44578 Dienst 13</v>
      </c>
      <c r="C17" s="5" t="str">
        <f>Dienste!D88</f>
        <v>Dienst 13</v>
      </c>
      <c r="D17" s="1">
        <f t="shared" si="0"/>
        <v>0.13402777777777769</v>
      </c>
      <c r="F17" s="102">
        <v>0.37222222222222223</v>
      </c>
      <c r="G17" s="102">
        <v>0.39583333333333331</v>
      </c>
      <c r="H17" s="102">
        <v>0.43611111111111112</v>
      </c>
      <c r="I17" s="102">
        <v>0.5</v>
      </c>
      <c r="J17" s="102">
        <v>0.62361111111111112</v>
      </c>
      <c r="K17" s="102">
        <v>0.67013888888888884</v>
      </c>
    </row>
    <row r="18" spans="1:13">
      <c r="A18" s="22">
        <f>Dienste!B89</f>
        <v>44578</v>
      </c>
      <c r="B18" s="5" t="str">
        <f>Dienste!C89</f>
        <v>44578 Dienst 14</v>
      </c>
      <c r="C18" s="5" t="str">
        <f>Dienste!D89</f>
        <v>Dienst 14</v>
      </c>
      <c r="D18" s="1">
        <f t="shared" si="0"/>
        <v>4.3055555555555625E-2</v>
      </c>
      <c r="F18" s="102">
        <v>0.72777777777777775</v>
      </c>
      <c r="G18" s="102">
        <v>0.77083333333333337</v>
      </c>
    </row>
    <row r="19" spans="1:13">
      <c r="A19" s="22">
        <f>Dienste!B90</f>
        <v>44578</v>
      </c>
      <c r="B19" s="5" t="str">
        <f>Dienste!C90</f>
        <v>44578 Dienst 15</v>
      </c>
      <c r="C19" s="5" t="str">
        <f>Dienste!D90</f>
        <v>Dienst 15</v>
      </c>
      <c r="D19" s="1">
        <f t="shared" si="0"/>
        <v>0.18194444444444446</v>
      </c>
      <c r="F19" s="102">
        <v>0.43888888888888888</v>
      </c>
      <c r="G19" s="102">
        <v>0.50486111111111109</v>
      </c>
      <c r="H19" s="102">
        <v>0.53888888888888886</v>
      </c>
      <c r="I19" s="102">
        <v>0.6069444444444444</v>
      </c>
      <c r="J19" s="102">
        <v>0.66319444444444442</v>
      </c>
      <c r="K19" s="102">
        <v>0.6875</v>
      </c>
      <c r="L19" s="102">
        <v>0.80972222222222223</v>
      </c>
      <c r="M19" s="102">
        <v>0.83333333333333337</v>
      </c>
    </row>
    <row r="20" spans="1:13">
      <c r="A20" s="22">
        <f>Dienste!B91</f>
        <v>44578</v>
      </c>
      <c r="B20" s="5" t="str">
        <f>Dienste!C91</f>
        <v>44578 Dienst 16</v>
      </c>
      <c r="C20" s="5" t="str">
        <f>Dienste!D91</f>
        <v>Dienst 16</v>
      </c>
      <c r="D20" s="1">
        <f t="shared" si="0"/>
        <v>0.15208333333333324</v>
      </c>
      <c r="F20" s="102">
        <v>0.50138888888888888</v>
      </c>
      <c r="G20" s="102">
        <v>0.53749999999999998</v>
      </c>
      <c r="H20" s="102">
        <v>0.62222222222222223</v>
      </c>
      <c r="I20" s="102">
        <v>0.71111111111111114</v>
      </c>
      <c r="J20" s="102">
        <v>0.76736111111111116</v>
      </c>
      <c r="K20" s="102">
        <v>0.7944444444444444</v>
      </c>
    </row>
    <row r="21" spans="1:13">
      <c r="A21" s="22">
        <f>Dienste!B92</f>
        <v>44578</v>
      </c>
      <c r="B21" s="5" t="str">
        <f>Dienste!C92</f>
        <v>44578 Dienst 17</v>
      </c>
      <c r="C21" s="5" t="str">
        <f>Dienste!D92</f>
        <v>Dienst 17</v>
      </c>
      <c r="D21" s="1">
        <f t="shared" si="0"/>
        <v>0.13402777777777791</v>
      </c>
      <c r="F21" s="102">
        <v>0.45555555555555555</v>
      </c>
      <c r="G21" s="102">
        <v>0.52361111111111114</v>
      </c>
      <c r="H21" s="102">
        <v>0.57986111111111105</v>
      </c>
      <c r="I21" s="102">
        <v>0.64583333333333337</v>
      </c>
    </row>
    <row r="22" spans="1:13">
      <c r="A22" s="22">
        <f>Dienste!B93</f>
        <v>44578</v>
      </c>
      <c r="B22" s="5" t="str">
        <f>Dienste!C93</f>
        <v>44578 Dienst 18</v>
      </c>
      <c r="C22" s="5" t="str">
        <f>Dienste!D93</f>
        <v>Dienst 18</v>
      </c>
      <c r="D22" s="1">
        <f t="shared" si="0"/>
        <v>9.5138888888888995E-2</v>
      </c>
      <c r="F22" s="102">
        <v>0.57291666666666663</v>
      </c>
      <c r="G22" s="102">
        <v>0.625</v>
      </c>
      <c r="H22" s="102">
        <v>0.68611111111111101</v>
      </c>
      <c r="I22" s="102">
        <v>0.72916666666666663</v>
      </c>
    </row>
    <row r="23" spans="1:13">
      <c r="A23" s="22">
        <f>Dienste!B94</f>
        <v>44578</v>
      </c>
      <c r="B23" s="5" t="str">
        <f>Dienste!C94</f>
        <v>44578 Dienst 19</v>
      </c>
      <c r="C23" s="5" t="str">
        <f>Dienste!D94</f>
        <v>Dienst 19</v>
      </c>
      <c r="D23" s="1">
        <f t="shared" si="0"/>
        <v>4.513888888888884E-2</v>
      </c>
      <c r="F23" s="102">
        <v>0.68402777777777779</v>
      </c>
      <c r="G23" s="102">
        <v>0.72916666666666663</v>
      </c>
    </row>
    <row r="24" spans="1:13">
      <c r="A24" s="22">
        <f>Dienste!B95</f>
        <v>44578</v>
      </c>
      <c r="B24" s="5" t="str">
        <f>Dienste!C95</f>
        <v>44578 Dienst 20</v>
      </c>
      <c r="C24" s="5" t="str">
        <f>Dienste!D95</f>
        <v>Dienst 20</v>
      </c>
      <c r="D24" s="1">
        <f t="shared" si="0"/>
        <v>4.4444444444444509E-2</v>
      </c>
      <c r="F24" s="102">
        <v>0.72638888888888886</v>
      </c>
      <c r="G24" s="102">
        <v>0.77083333333333337</v>
      </c>
    </row>
    <row r="25" spans="1:13">
      <c r="A25" s="22">
        <f>Dienste!B96</f>
        <v>44578</v>
      </c>
      <c r="B25" s="5" t="str">
        <f>Dienste!C96</f>
        <v>44578 Dienst 21</v>
      </c>
      <c r="C25" s="5" t="str">
        <f>Dienste!D96</f>
        <v>Dienst 21</v>
      </c>
      <c r="D25" s="1">
        <f t="shared" si="0"/>
        <v>0.15416666666666667</v>
      </c>
      <c r="F25" s="102">
        <v>0.43472222222222223</v>
      </c>
      <c r="G25" s="102">
        <v>0.5444444444444444</v>
      </c>
      <c r="H25" s="102">
        <v>0.72638888888888886</v>
      </c>
      <c r="I25" s="102">
        <v>0.77083333333333337</v>
      </c>
    </row>
    <row r="26" spans="1:13">
      <c r="A26" s="22">
        <f>Dienste!B97</f>
        <v>44578</v>
      </c>
      <c r="B26" s="5" t="str">
        <f>Dienste!C97</f>
        <v>44578 Dienst 22</v>
      </c>
      <c r="C26" s="5" t="str">
        <f>Dienste!D97</f>
        <v>Dienst 22</v>
      </c>
      <c r="D26" s="1">
        <f t="shared" si="0"/>
        <v>0.14027777777777772</v>
      </c>
      <c r="F26" s="102">
        <v>0.60555555555555551</v>
      </c>
      <c r="G26" s="102">
        <v>0.74583333333333324</v>
      </c>
    </row>
    <row r="27" spans="1:13">
      <c r="A27" s="22">
        <f>Dienste!B98</f>
        <v>44578</v>
      </c>
      <c r="B27" s="5" t="str">
        <f>Dienste!C98</f>
        <v>44578 Dienst 22 O</v>
      </c>
      <c r="C27" s="5" t="str">
        <f>Dienste!D98</f>
        <v>Dienst 22 O</v>
      </c>
      <c r="D27" s="1">
        <f t="shared" si="0"/>
        <v>0.14027777777777772</v>
      </c>
      <c r="F27" s="102">
        <v>0.60555555555555551</v>
      </c>
      <c r="G27" s="102">
        <v>0.74583333333333324</v>
      </c>
    </row>
    <row r="28" spans="1:13">
      <c r="A28" s="22">
        <f>Dienste!B99</f>
        <v>44578</v>
      </c>
      <c r="B28" s="5" t="str">
        <f>Dienste!C99</f>
        <v>44578 Dienst 23</v>
      </c>
      <c r="C28" s="5" t="str">
        <f>Dienste!D99</f>
        <v>Dienst 23</v>
      </c>
      <c r="D28" s="1">
        <f t="shared" si="0"/>
        <v>0.1291666666666666</v>
      </c>
      <c r="F28" s="102">
        <v>0.4548611111111111</v>
      </c>
      <c r="G28" s="102">
        <v>0.50277777777777777</v>
      </c>
      <c r="H28" s="102">
        <v>0.55902777777777779</v>
      </c>
      <c r="I28" s="102">
        <v>0.58611111111111114</v>
      </c>
      <c r="J28" s="102">
        <v>0.64236111111111105</v>
      </c>
      <c r="K28" s="102">
        <v>0.6694444444444444</v>
      </c>
      <c r="L28" s="102">
        <v>0.72569444444444453</v>
      </c>
      <c r="M28" s="102">
        <v>0.75277777777777777</v>
      </c>
    </row>
    <row r="29" spans="1:13">
      <c r="A29" s="22">
        <f>Dienste!B100</f>
        <v>44578</v>
      </c>
      <c r="B29" s="5" t="str">
        <f>Dienste!C100</f>
        <v>44578 Dienst 24</v>
      </c>
      <c r="C29" s="5" t="str">
        <f>Dienste!D100</f>
        <v>Dienst 24</v>
      </c>
      <c r="D29" s="1">
        <f t="shared" si="0"/>
        <v>9.1666666666666674E-2</v>
      </c>
      <c r="F29" s="102">
        <v>0.49861111111111112</v>
      </c>
      <c r="G29" s="102">
        <v>0.54513888888888895</v>
      </c>
      <c r="H29" s="102">
        <v>0.68402777777777779</v>
      </c>
      <c r="I29" s="102">
        <v>0.72916666666666663</v>
      </c>
    </row>
    <row r="30" spans="1:13">
      <c r="A30" s="22">
        <f>Dienste!B101</f>
        <v>44578</v>
      </c>
      <c r="B30" s="5" t="str">
        <f>Dienste!C101</f>
        <v>44578 Dienst 25</v>
      </c>
      <c r="C30" s="5" t="str">
        <f>Dienste!D101</f>
        <v>Dienst 25</v>
      </c>
      <c r="D30" s="1">
        <f t="shared" si="0"/>
        <v>0.12222222222222212</v>
      </c>
      <c r="F30" s="102">
        <v>0.49722222222222223</v>
      </c>
      <c r="G30" s="102">
        <v>0.54513888888888895</v>
      </c>
      <c r="H30" s="102">
        <v>0.68472222222222223</v>
      </c>
      <c r="I30" s="102">
        <v>0.7319444444444444</v>
      </c>
      <c r="J30" s="102">
        <v>0.78819444444444453</v>
      </c>
      <c r="K30" s="102">
        <v>0.81527777777777777</v>
      </c>
    </row>
    <row r="31" spans="1:13">
      <c r="A31" s="22">
        <f>Dienste!B102</f>
        <v>44578</v>
      </c>
      <c r="B31" s="5" t="str">
        <f>Dienste!C102</f>
        <v>44578 Dienst 26 oR</v>
      </c>
      <c r="C31" s="5" t="str">
        <f>Dienste!D102</f>
        <v>Dienst 26 oR</v>
      </c>
      <c r="D31" s="1">
        <f t="shared" si="0"/>
        <v>0</v>
      </c>
      <c r="F31" s="102"/>
      <c r="G31" s="102"/>
    </row>
    <row r="32" spans="1:13">
      <c r="A32" s="22">
        <f>Dienste!B103</f>
        <v>44578</v>
      </c>
      <c r="B32" s="5" t="str">
        <f>Dienste!C103</f>
        <v>44578 Dienst 26 mR</v>
      </c>
      <c r="C32" s="5" t="str">
        <f>Dienste!D103</f>
        <v>Dienst 26 mR</v>
      </c>
      <c r="D32" s="1">
        <f t="shared" si="0"/>
        <v>0</v>
      </c>
    </row>
    <row r="33" spans="1:13">
      <c r="A33" s="22">
        <f>Dienste!B104</f>
        <v>44578</v>
      </c>
      <c r="B33" s="5" t="str">
        <f>Dienste!C104</f>
        <v>44578 Dienst 27</v>
      </c>
      <c r="C33" s="5" t="str">
        <f>Dienste!D104</f>
        <v>Dienst 27</v>
      </c>
      <c r="D33" s="1">
        <f t="shared" si="0"/>
        <v>4.4444444444444398E-2</v>
      </c>
      <c r="F33" s="102">
        <v>0.7055555555555556</v>
      </c>
      <c r="G33" s="102">
        <v>0.75</v>
      </c>
    </row>
    <row r="34" spans="1:13">
      <c r="A34" s="22">
        <f>Dienste!B105</f>
        <v>44578</v>
      </c>
      <c r="B34" s="5" t="str">
        <f>Dienste!C105</f>
        <v>44578 Dienst 1 Sa</v>
      </c>
      <c r="C34" s="5" t="str">
        <f>Dienste!D105</f>
        <v>Dienst 1 Sa</v>
      </c>
      <c r="D34" s="1">
        <f t="shared" si="0"/>
        <v>4.3750000000000067E-2</v>
      </c>
      <c r="F34" s="102">
        <v>0.43124999999999997</v>
      </c>
      <c r="G34" s="102">
        <v>0.47500000000000003</v>
      </c>
    </row>
    <row r="35" spans="1:13">
      <c r="A35" s="22">
        <f>Dienste!B106</f>
        <v>44578</v>
      </c>
      <c r="B35" s="5" t="str">
        <f>Dienste!C106</f>
        <v>44578 Dienst 2 Sa</v>
      </c>
      <c r="C35" s="5" t="str">
        <f>Dienste!D106</f>
        <v>Dienst 2 Sa</v>
      </c>
      <c r="D35" s="1">
        <f t="shared" si="0"/>
        <v>0.12638888888888861</v>
      </c>
      <c r="F35" s="102">
        <v>0.45208333333333334</v>
      </c>
      <c r="G35" s="102">
        <v>0.49583333333333335</v>
      </c>
      <c r="H35" s="102">
        <v>0.5805555555555556</v>
      </c>
      <c r="I35" s="102">
        <v>0.625</v>
      </c>
      <c r="J35" s="102">
        <v>0.66041666666666665</v>
      </c>
      <c r="K35" s="102">
        <v>0.68333333333333324</v>
      </c>
      <c r="L35" s="102">
        <v>0.73055555555555562</v>
      </c>
      <c r="M35" s="102">
        <v>0.74583333333333324</v>
      </c>
    </row>
    <row r="36" spans="1:13">
      <c r="A36" s="22">
        <f>Dienste!B107</f>
        <v>44578</v>
      </c>
      <c r="B36" s="5" t="str">
        <f>Dienste!C107</f>
        <v>44578 Dienst 3 Sa</v>
      </c>
      <c r="C36" s="5" t="str">
        <f>Dienste!D107</f>
        <v>Dienst 3 Sa</v>
      </c>
      <c r="D36" s="1">
        <f t="shared" si="0"/>
        <v>0.14791666666666664</v>
      </c>
      <c r="F36" s="102">
        <v>0.37222222222222223</v>
      </c>
      <c r="G36" s="102">
        <v>0.39861111111111108</v>
      </c>
      <c r="H36" s="102">
        <v>0.4548611111111111</v>
      </c>
      <c r="I36" s="102">
        <v>0.47916666666666669</v>
      </c>
      <c r="J36" s="102">
        <v>0.60138888888888886</v>
      </c>
      <c r="K36" s="102">
        <v>0.6875</v>
      </c>
      <c r="L36" s="102">
        <v>0.72291666666666676</v>
      </c>
      <c r="M36" s="102">
        <v>0.73402777777777783</v>
      </c>
    </row>
    <row r="37" spans="1:13">
      <c r="A37" s="22">
        <f>Dienste!B108</f>
        <v>44578</v>
      </c>
      <c r="B37" s="5" t="str">
        <f>Dienste!C108</f>
        <v>44578 Dienst 4 Sa</v>
      </c>
      <c r="C37" s="5" t="str">
        <f>Dienste!D108</f>
        <v>Dienst 4 Sa</v>
      </c>
      <c r="D37" s="1">
        <f t="shared" si="0"/>
        <v>9.1666666666666619E-2</v>
      </c>
      <c r="F37" s="102">
        <v>0.39305555555555555</v>
      </c>
      <c r="G37" s="102">
        <v>0.44027777777777777</v>
      </c>
      <c r="H37" s="102">
        <v>0.62222222222222223</v>
      </c>
      <c r="I37" s="102">
        <v>0.66666666666666663</v>
      </c>
    </row>
    <row r="38" spans="1:13">
      <c r="A38" s="22">
        <f>Dienste!B109</f>
        <v>44578</v>
      </c>
      <c r="B38" s="5" t="str">
        <f>Dienste!C109</f>
        <v>44578 Dienst 5 Sa</v>
      </c>
      <c r="C38" s="5" t="str">
        <f>Dienste!D109</f>
        <v>Dienst 5 Sa</v>
      </c>
      <c r="D38" s="1">
        <f t="shared" si="0"/>
        <v>0.1152777777777777</v>
      </c>
      <c r="F38" s="102">
        <v>0.41388888888888892</v>
      </c>
      <c r="G38" s="102">
        <v>0.46111111111111108</v>
      </c>
      <c r="H38" s="102">
        <v>0.6430555555555556</v>
      </c>
      <c r="I38" s="102">
        <v>0.71111111111111114</v>
      </c>
    </row>
    <row r="39" spans="1:13">
      <c r="A39" s="22">
        <f>Dienste!B110</f>
        <v>44578</v>
      </c>
      <c r="B39" s="5" t="str">
        <f>Dienste!C110</f>
        <v>44578 Dienst 6 Sa</v>
      </c>
      <c r="C39" s="5" t="str">
        <f>Dienste!D110</f>
        <v>Dienst 6 Sa</v>
      </c>
      <c r="D39" s="1">
        <f t="shared" si="0"/>
        <v>0.11527777777777776</v>
      </c>
      <c r="F39" s="102">
        <v>0.43472222222222223</v>
      </c>
      <c r="G39" s="102">
        <v>0.48194444444444445</v>
      </c>
      <c r="H39" s="102">
        <v>0.66388888888888886</v>
      </c>
      <c r="I39" s="102">
        <v>0.7319444444444444</v>
      </c>
    </row>
    <row r="40" spans="1:13">
      <c r="A40" s="22">
        <f>Dienste!B111</f>
        <v>44578</v>
      </c>
      <c r="B40" s="5" t="str">
        <f>Dienste!C111</f>
        <v>44578 Dienst 7 Sa oR</v>
      </c>
      <c r="C40" s="5" t="str">
        <f>Dienste!D111</f>
        <v>Dienst 7 Sa oR</v>
      </c>
      <c r="D40" s="1">
        <f t="shared" si="0"/>
        <v>4.7916666666666663E-2</v>
      </c>
      <c r="F40" s="102">
        <v>0.3298611111111111</v>
      </c>
      <c r="G40" s="102">
        <v>0.37777777777777777</v>
      </c>
    </row>
    <row r="41" spans="1:13">
      <c r="A41" s="22">
        <f>Dienste!B112</f>
        <v>44578</v>
      </c>
      <c r="B41" s="5" t="str">
        <f>Dienste!C112</f>
        <v>44578 Dienst 7 Sa mR</v>
      </c>
      <c r="C41" s="5" t="str">
        <f>Dienste!D112</f>
        <v>Dienst 7 Sa mR</v>
      </c>
      <c r="D41" s="1">
        <f t="shared" si="0"/>
        <v>4.7916666666666663E-2</v>
      </c>
      <c r="F41" s="102">
        <v>0.3298611111111111</v>
      </c>
      <c r="G41" s="102">
        <v>0.37777777777777777</v>
      </c>
    </row>
    <row r="42" spans="1:13">
      <c r="A42" s="22">
        <f>Dienste!B113</f>
        <v>44578</v>
      </c>
      <c r="B42" s="5" t="str">
        <f>Dienste!C113</f>
        <v>44578 Dienst 8 Sa</v>
      </c>
      <c r="C42" s="5" t="str">
        <f>Dienste!D113</f>
        <v>Dienst 8 Sa</v>
      </c>
      <c r="D42" s="1">
        <f t="shared" si="0"/>
        <v>4.3750000000000011E-2</v>
      </c>
      <c r="F42" s="102">
        <v>0.38958333333333334</v>
      </c>
      <c r="G42" s="102">
        <v>0.43333333333333335</v>
      </c>
    </row>
    <row r="43" spans="1:13">
      <c r="A43" s="22">
        <f>Dienste!B114</f>
        <v>44578</v>
      </c>
      <c r="B43" s="5" t="str">
        <f>Dienste!C114</f>
        <v>44578 Dienst 9 Sa</v>
      </c>
      <c r="C43" s="5" t="str">
        <f>Dienste!D114</f>
        <v>Dienst 9 Sa</v>
      </c>
      <c r="D43" s="1">
        <f t="shared" si="0"/>
        <v>3.1250000000000056E-2</v>
      </c>
      <c r="F43" s="102">
        <v>0.37152777777777773</v>
      </c>
      <c r="G43" s="102">
        <v>0.375</v>
      </c>
      <c r="H43" s="102">
        <v>0.3888888888888889</v>
      </c>
      <c r="I43" s="102">
        <v>0.41666666666666669</v>
      </c>
    </row>
    <row r="44" spans="1:13">
      <c r="A44" s="22">
        <f>Dienste!B115</f>
        <v>44578</v>
      </c>
      <c r="B44" s="5" t="str">
        <f>Dienste!C115</f>
        <v>44578 Dienst 10 Sa</v>
      </c>
      <c r="C44" s="5" t="str">
        <f>Dienste!D115</f>
        <v>Dienst 10 Sa</v>
      </c>
      <c r="D44" s="1">
        <f t="shared" si="0"/>
        <v>0.10833333333333328</v>
      </c>
      <c r="F44" s="102">
        <v>0.4152777777777778</v>
      </c>
      <c r="G44" s="102">
        <v>0.45833333333333331</v>
      </c>
      <c r="H44" s="102">
        <v>0.5180555555555556</v>
      </c>
      <c r="I44" s="102">
        <v>0.58333333333333337</v>
      </c>
    </row>
    <row r="45" spans="1:13">
      <c r="A45" s="22">
        <f>Dienste!B116</f>
        <v>44578</v>
      </c>
      <c r="B45" s="5" t="str">
        <f>Dienste!C116</f>
        <v>44578 Dienst 11 Sa oR</v>
      </c>
      <c r="C45" s="5" t="str">
        <f>Dienste!D116</f>
        <v>Dienst 11 Sa oR</v>
      </c>
      <c r="D45" s="1">
        <f t="shared" si="0"/>
        <v>0</v>
      </c>
    </row>
    <row r="46" spans="1:13">
      <c r="A46" s="22">
        <f>Dienste!B117</f>
        <v>44578</v>
      </c>
      <c r="B46" s="5" t="str">
        <f>Dienste!C117</f>
        <v>44578 Dienst 11 Sa mR</v>
      </c>
      <c r="C46" s="5" t="str">
        <f>Dienste!D117</f>
        <v>Dienst 11 Sa mR</v>
      </c>
      <c r="D46" s="1">
        <f t="shared" si="0"/>
        <v>0</v>
      </c>
    </row>
    <row r="47" spans="1:13">
      <c r="A47" s="22">
        <f>Dienste!B118</f>
        <v>44578</v>
      </c>
      <c r="B47" s="5" t="str">
        <f>Dienste!C118</f>
        <v>44578 Dienst 12 Sa</v>
      </c>
      <c r="C47" s="5" t="str">
        <f>Dienste!D118</f>
        <v>Dienst 12 Sa</v>
      </c>
      <c r="D47" s="1">
        <f t="shared" si="0"/>
        <v>0.10694444444444445</v>
      </c>
      <c r="F47" s="102">
        <v>0.45694444444444443</v>
      </c>
      <c r="G47" s="102">
        <v>0.52083333333333337</v>
      </c>
      <c r="H47" s="102">
        <v>0.62361111111111112</v>
      </c>
      <c r="I47" s="102">
        <v>0.66666666666666663</v>
      </c>
    </row>
    <row r="48" spans="1:13">
      <c r="A48" s="22">
        <f>Dienste!B119</f>
        <v>44578</v>
      </c>
      <c r="B48" s="5" t="str">
        <f>Dienste!C119</f>
        <v>44578 Dienst 13 Sa</v>
      </c>
      <c r="C48" s="5" t="str">
        <f>Dienste!D119</f>
        <v>Dienst 13 Sa</v>
      </c>
      <c r="D48" s="1">
        <f t="shared" si="0"/>
        <v>0.13402777777777775</v>
      </c>
      <c r="F48" s="102">
        <v>0.53888888888888886</v>
      </c>
      <c r="G48" s="102">
        <v>0.6069444444444444</v>
      </c>
      <c r="H48" s="102">
        <v>0.66319444444444442</v>
      </c>
      <c r="I48" s="102">
        <v>0.72916666666666663</v>
      </c>
    </row>
    <row r="49" spans="1:11">
      <c r="A49" s="22">
        <f>Dienste!B120</f>
        <v>44578</v>
      </c>
      <c r="B49" s="5" t="str">
        <f>Dienste!C120</f>
        <v>44578 Dienst 14 Sa</v>
      </c>
      <c r="C49" s="5" t="str">
        <f>Dienste!D120</f>
        <v>Dienst 14 Sa</v>
      </c>
      <c r="D49" s="1">
        <f t="shared" si="0"/>
        <v>0.18888888888888883</v>
      </c>
      <c r="F49" s="102">
        <v>0.47638888888888892</v>
      </c>
      <c r="G49" s="102">
        <v>0.58611111111111114</v>
      </c>
      <c r="H49" s="102">
        <v>0.68125000000000002</v>
      </c>
      <c r="I49" s="102">
        <v>0.71319444444444446</v>
      </c>
      <c r="J49" s="102">
        <v>0.74722222222222223</v>
      </c>
      <c r="K49" s="102">
        <v>0.7944444444444444</v>
      </c>
    </row>
    <row r="50" spans="1:11">
      <c r="A50" s="22">
        <f>Dienste!B121</f>
        <v>44578</v>
      </c>
      <c r="B50" s="5" t="str">
        <f>Dienste!C121</f>
        <v>44578 Dienst 15 Sa</v>
      </c>
      <c r="C50" s="5" t="str">
        <f>Dienste!D121</f>
        <v>Dienst 15 Sa</v>
      </c>
      <c r="D50" s="1">
        <f t="shared" si="0"/>
        <v>4.4444444444444509E-2</v>
      </c>
      <c r="F50" s="102">
        <v>0.72638888888888886</v>
      </c>
      <c r="G50" s="102">
        <v>0.77083333333333337</v>
      </c>
    </row>
    <row r="51" spans="1:11">
      <c r="A51" s="22">
        <f>Dienste!B122</f>
        <v>44578</v>
      </c>
      <c r="B51" s="5" t="str">
        <f>Dienste!C122</f>
        <v>44578 Dienst 16 Sa</v>
      </c>
      <c r="C51" s="5" t="str">
        <f>Dienste!D122</f>
        <v>Dienst 16 Sa</v>
      </c>
      <c r="D51" s="1">
        <f t="shared" si="0"/>
        <v>9.9305555555555647E-2</v>
      </c>
      <c r="F51" s="102">
        <v>0.47569444444444442</v>
      </c>
      <c r="G51" s="102">
        <v>0.5444444444444444</v>
      </c>
      <c r="H51" s="102">
        <v>0.72638888888888886</v>
      </c>
      <c r="I51" s="102">
        <v>0.72916666666666663</v>
      </c>
      <c r="J51" s="102">
        <v>0.74305555555555547</v>
      </c>
      <c r="K51" s="102">
        <v>0.77083333333333337</v>
      </c>
    </row>
    <row r="52" spans="1:11">
      <c r="A52" s="22">
        <f>Dienste!B123</f>
        <v>44578</v>
      </c>
      <c r="B52" s="5" t="str">
        <f>Dienste!C123</f>
        <v>44578 Dienst 17 Sa</v>
      </c>
      <c r="C52" s="5" t="str">
        <f>Dienste!D123</f>
        <v>Dienst 17 Sa</v>
      </c>
      <c r="D52" s="1">
        <f t="shared" si="0"/>
        <v>6.3888888888888884E-2</v>
      </c>
      <c r="F52" s="102">
        <v>0.66527777777777775</v>
      </c>
      <c r="G52" s="102">
        <v>0.72916666666666663</v>
      </c>
    </row>
    <row r="53" spans="1:11">
      <c r="A53" s="22">
        <f>Dienste!B124</f>
        <v>44578</v>
      </c>
      <c r="B53" s="5" t="str">
        <f>Dienste!C124</f>
        <v>44578 Dienst 18 Sa</v>
      </c>
      <c r="C53" s="5" t="str">
        <f>Dienste!D124</f>
        <v>Dienst 18 Sa</v>
      </c>
      <c r="D53" s="1">
        <f t="shared" si="0"/>
        <v>0.11736111111111103</v>
      </c>
      <c r="F53" s="102">
        <v>0.50138888888888888</v>
      </c>
      <c r="G53" s="102">
        <v>0.52569444444444446</v>
      </c>
      <c r="H53" s="102">
        <v>0.62152777777777779</v>
      </c>
      <c r="I53" s="102">
        <v>0.66666666666666663</v>
      </c>
      <c r="J53" s="102">
        <v>0.72569444444444453</v>
      </c>
      <c r="K53" s="102">
        <v>0.77361111111111114</v>
      </c>
    </row>
    <row r="54" spans="1:11">
      <c r="A54" s="22">
        <f>Dienste!B125</f>
        <v>44578</v>
      </c>
      <c r="B54" s="5" t="str">
        <f>Dienste!C125</f>
        <v>44578 Dienst 19 Sa</v>
      </c>
      <c r="C54" s="5" t="str">
        <f>Dienste!D125</f>
        <v>Dienst 19 Sa</v>
      </c>
      <c r="D54" s="1">
        <f t="shared" si="0"/>
        <v>0.10208333333333341</v>
      </c>
      <c r="F54" s="102">
        <v>0.57986111111111105</v>
      </c>
      <c r="G54" s="102">
        <v>0.58680555555555558</v>
      </c>
      <c r="H54" s="102">
        <v>0.60138888888888886</v>
      </c>
      <c r="I54" s="102">
        <v>0.62777777777777777</v>
      </c>
      <c r="J54" s="102">
        <v>0.68402777777777779</v>
      </c>
      <c r="K54" s="102">
        <v>0.75277777777777777</v>
      </c>
    </row>
    <row r="55" spans="1:11">
      <c r="A55" s="22">
        <f>Dienste!B126</f>
        <v>44578</v>
      </c>
      <c r="B55" s="5" t="str">
        <f>Dienste!C126</f>
        <v>44578 Dienst 20 Sa oR</v>
      </c>
      <c r="C55" s="5" t="str">
        <f>Dienste!D126</f>
        <v>Dienst 20 Sa oR</v>
      </c>
      <c r="D55" s="1">
        <f t="shared" si="0"/>
        <v>3.1944444444444442E-2</v>
      </c>
      <c r="F55" s="102">
        <v>0.74375000000000002</v>
      </c>
      <c r="G55" s="102">
        <v>0.77569444444444446</v>
      </c>
    </row>
    <row r="56" spans="1:11">
      <c r="A56" s="22">
        <f>Dienste!B127</f>
        <v>44578</v>
      </c>
      <c r="B56" s="5" t="str">
        <f>Dienste!C127</f>
        <v>44578 Dienst 20 Sa mR</v>
      </c>
      <c r="C56" s="5" t="str">
        <f>Dienste!D127</f>
        <v>Dienst 20 Sa mR</v>
      </c>
      <c r="D56" s="1">
        <f t="shared" si="0"/>
        <v>3.1944444444444442E-2</v>
      </c>
      <c r="F56" s="102">
        <v>0.74375000000000002</v>
      </c>
      <c r="G56" s="102">
        <v>0.77569444444444446</v>
      </c>
    </row>
    <row r="57" spans="1:11">
      <c r="A57" s="22">
        <f>Dienste!B128</f>
        <v>44578</v>
      </c>
      <c r="B57" s="5" t="str">
        <f>Dienste!C128</f>
        <v>44578 Dienst 21 Sa</v>
      </c>
      <c r="C57" s="5" t="str">
        <f>Dienste!D128</f>
        <v>Dienst 21 Sa</v>
      </c>
      <c r="D57" s="1">
        <f t="shared" si="0"/>
        <v>3.9583333333333304E-2</v>
      </c>
      <c r="F57" s="102">
        <v>0.70972222222222225</v>
      </c>
      <c r="G57" s="102">
        <v>0.72499999999999998</v>
      </c>
      <c r="H57" s="102">
        <v>0.77222222222222225</v>
      </c>
      <c r="I57" s="102">
        <v>0.79652777777777783</v>
      </c>
    </row>
    <row r="58" spans="1:11">
      <c r="A58" s="22">
        <f>Dienste!B129</f>
        <v>44578</v>
      </c>
      <c r="B58" s="5" t="str">
        <f>Dienste!C129</f>
        <v>44578 Dienst 22 Sa</v>
      </c>
      <c r="C58" s="5" t="str">
        <f>Dienste!D129</f>
        <v>Dienst 22 Sa</v>
      </c>
      <c r="D58" s="1">
        <f t="shared" si="0"/>
        <v>6.5277777777777768E-2</v>
      </c>
      <c r="F58" s="102">
        <v>0.68472222222222223</v>
      </c>
      <c r="G58" s="102">
        <v>0.75</v>
      </c>
    </row>
    <row r="59" spans="1:11">
      <c r="A59" s="22">
        <f>Dienste!B130</f>
        <v>44578</v>
      </c>
      <c r="B59" s="5" t="str">
        <f>Dienste!C130</f>
        <v>44578 Dienst 23 Sa oR</v>
      </c>
      <c r="C59" s="5" t="str">
        <f>Dienste!D130</f>
        <v>Dienst 23 Sa oR</v>
      </c>
      <c r="D59" s="1">
        <f t="shared" si="0"/>
        <v>4.513888888888884E-2</v>
      </c>
      <c r="F59" s="102">
        <v>0.74652777777777779</v>
      </c>
      <c r="G59" s="102">
        <v>0.79166666666666663</v>
      </c>
    </row>
    <row r="60" spans="1:11">
      <c r="A60" s="22">
        <f>Dienste!B131</f>
        <v>44578</v>
      </c>
      <c r="B60" s="5" t="str">
        <f>Dienste!C131</f>
        <v>44578 Dienst 23 Sa mR</v>
      </c>
      <c r="C60" s="5" t="str">
        <f>Dienste!D131</f>
        <v>Dienst 23 Sa mR</v>
      </c>
      <c r="D60" s="1">
        <f t="shared" si="0"/>
        <v>4.513888888888884E-2</v>
      </c>
      <c r="F60" s="102">
        <v>0.74652777777777779</v>
      </c>
      <c r="G60" s="102">
        <v>0.79166666666666663</v>
      </c>
    </row>
    <row r="61" spans="1:11">
      <c r="A61" s="22">
        <f>Dienste!B132</f>
        <v>44578</v>
      </c>
      <c r="B61" s="5" t="str">
        <f>Dienste!C132</f>
        <v>44578 Dienst 24 Sa</v>
      </c>
      <c r="C61" s="5" t="str">
        <f>Dienste!D132</f>
        <v>Dienst 24 Sa</v>
      </c>
      <c r="D61" s="1">
        <f t="shared" si="0"/>
        <v>8.9583333333333237E-2</v>
      </c>
      <c r="F61" s="102">
        <v>0.57638888888888895</v>
      </c>
      <c r="G61" s="102">
        <v>0.60069444444444442</v>
      </c>
      <c r="H61" s="102">
        <v>0.7055555555555556</v>
      </c>
      <c r="I61" s="102">
        <v>0.77083333333333337</v>
      </c>
    </row>
    <row r="62" spans="1:11">
      <c r="A62" s="22">
        <f>Dienste!B133</f>
        <v>44578</v>
      </c>
      <c r="B62" s="5" t="str">
        <f>Dienste!C133</f>
        <v>44578 Dienst 1 SoF</v>
      </c>
      <c r="C62" s="5" t="str">
        <f>Dienste!D133</f>
        <v>Dienst 1 SoF</v>
      </c>
      <c r="D62" s="1">
        <f t="shared" si="0"/>
        <v>0.1347222222222223</v>
      </c>
      <c r="F62" s="102">
        <v>0.43402777777777773</v>
      </c>
      <c r="G62" s="102">
        <v>0.47916666666666669</v>
      </c>
      <c r="H62" s="102">
        <v>0.68402777777777779</v>
      </c>
      <c r="I62" s="102">
        <v>0.77361111111111114</v>
      </c>
    </row>
    <row r="63" spans="1:11">
      <c r="A63" s="22">
        <f>Dienste!B134</f>
        <v>44578</v>
      </c>
      <c r="B63" s="5" t="str">
        <f>Dienste!C134</f>
        <v>44578 Dienst 2 SoF</v>
      </c>
      <c r="C63" s="5" t="str">
        <f>Dienste!D134</f>
        <v>Dienst 2 SoF</v>
      </c>
      <c r="D63" s="1">
        <f t="shared" ref="D63:D71" si="1">(G63-F63)+(I63-H63)+(K63-J63)+(M63-L63)+(O63-N63)</f>
        <v>5.0694444444444431E-2</v>
      </c>
      <c r="F63" s="102">
        <v>0.47361111111111115</v>
      </c>
      <c r="G63" s="102">
        <v>0.52430555555555558</v>
      </c>
    </row>
    <row r="64" spans="1:11">
      <c r="A64" s="22">
        <f>Dienste!B135</f>
        <v>44578</v>
      </c>
      <c r="B64" s="5" t="str">
        <f>Dienste!C135</f>
        <v>44578 Dienst 3 SoF</v>
      </c>
      <c r="C64" s="5" t="str">
        <f>Dienste!D135</f>
        <v>Dienst 3 SoF</v>
      </c>
      <c r="D64" s="1">
        <f t="shared" si="1"/>
        <v>4.7222222222222221E-2</v>
      </c>
      <c r="F64" s="102">
        <v>0.47638888888888892</v>
      </c>
      <c r="G64" s="102">
        <v>0.52361111111111114</v>
      </c>
    </row>
    <row r="65" spans="1:11">
      <c r="A65" s="22">
        <f>Dienste!B136</f>
        <v>44578</v>
      </c>
      <c r="B65" s="5" t="str">
        <f>Dienste!C136</f>
        <v>44578 Dienst 4 SoF</v>
      </c>
      <c r="C65" s="5" t="str">
        <f>Dienste!D136</f>
        <v>Dienst 4 SoF</v>
      </c>
      <c r="D65" s="1">
        <f t="shared" si="1"/>
        <v>0.10138888888888881</v>
      </c>
      <c r="F65" s="102">
        <v>0.43194444444444446</v>
      </c>
      <c r="G65" s="102">
        <v>0.4826388888888889</v>
      </c>
      <c r="H65" s="102">
        <v>0.68194444444444446</v>
      </c>
      <c r="I65" s="102">
        <v>0.73263888888888884</v>
      </c>
    </row>
    <row r="66" spans="1:11">
      <c r="A66" s="22">
        <f>Dienste!B137</f>
        <v>44578</v>
      </c>
      <c r="B66" s="5" t="str">
        <f>Dienste!C137</f>
        <v>44578 Dienst 5 SoF</v>
      </c>
      <c r="C66" s="5" t="str">
        <f>Dienste!D137</f>
        <v>Dienst 5 SoF</v>
      </c>
      <c r="D66" s="1">
        <f t="shared" si="1"/>
        <v>0.11111111111111116</v>
      </c>
      <c r="F66" s="102">
        <v>0.53472222222222221</v>
      </c>
      <c r="G66" s="102">
        <v>0.64583333333333337</v>
      </c>
    </row>
    <row r="67" spans="1:11">
      <c r="A67" s="22">
        <f>Dienste!B138</f>
        <v>44578</v>
      </c>
      <c r="B67" s="5" t="str">
        <f>Dienste!C138</f>
        <v>44578 Dienst 6 SoF</v>
      </c>
      <c r="C67" s="5" t="str">
        <f>Dienste!D138</f>
        <v>Dienst 6 SoF</v>
      </c>
      <c r="D67" s="1">
        <f t="shared" si="1"/>
        <v>0.15208333333333329</v>
      </c>
      <c r="F67" s="102">
        <v>0.4152777777777778</v>
      </c>
      <c r="G67" s="102">
        <v>0.54166666666666663</v>
      </c>
      <c r="H67" s="102">
        <v>0.68611111111111101</v>
      </c>
      <c r="I67" s="102">
        <v>0.71180555555555547</v>
      </c>
    </row>
    <row r="68" spans="1:11">
      <c r="A68" s="22">
        <f>Dienste!B139</f>
        <v>44578</v>
      </c>
      <c r="B68" s="5" t="str">
        <f>Dienste!C139</f>
        <v>44578 Dienst 7 SoF</v>
      </c>
      <c r="C68" s="5" t="str">
        <f>Dienste!D139</f>
        <v>Dienst 7 SoF</v>
      </c>
      <c r="D68" s="1">
        <f t="shared" si="1"/>
        <v>0.18055555555555558</v>
      </c>
      <c r="F68" s="102">
        <v>0.39444444444444443</v>
      </c>
      <c r="G68" s="102">
        <v>0.44097222222222227</v>
      </c>
      <c r="H68" s="102">
        <v>0.51527777777777783</v>
      </c>
      <c r="I68" s="102">
        <v>0.60416666666666663</v>
      </c>
      <c r="J68" s="102">
        <v>0.64236111111111105</v>
      </c>
      <c r="K68" s="102">
        <v>0.6875</v>
      </c>
    </row>
    <row r="69" spans="1:11">
      <c r="A69" s="22">
        <f>Dienste!B140</f>
        <v>44578</v>
      </c>
      <c r="B69" s="5" t="str">
        <f>Dienste!C140</f>
        <v>44578 Dienst 8 SoF</v>
      </c>
      <c r="C69" s="5" t="str">
        <f>Dienste!D140</f>
        <v>Dienst 8 SoF</v>
      </c>
      <c r="D69" s="1">
        <f t="shared" si="1"/>
        <v>8.680555555555558E-2</v>
      </c>
      <c r="F69" s="102">
        <v>0.60069444444444442</v>
      </c>
      <c r="G69" s="102">
        <v>0.6875</v>
      </c>
    </row>
    <row r="70" spans="1:11">
      <c r="A70" s="22">
        <f>Dienste!B141</f>
        <v>44578</v>
      </c>
      <c r="B70" s="5" t="str">
        <f>Dienste!C141</f>
        <v>44578 Dienst 9 SoF</v>
      </c>
      <c r="C70" s="5" t="str">
        <f>Dienste!D141</f>
        <v>Dienst 9 SoF</v>
      </c>
      <c r="D70" s="1">
        <f t="shared" si="1"/>
        <v>7.1527777777777746E-2</v>
      </c>
      <c r="F70" s="102">
        <v>0.59861111111111109</v>
      </c>
      <c r="G70" s="102">
        <v>0.67013888888888884</v>
      </c>
    </row>
    <row r="71" spans="1:11">
      <c r="A71" s="22">
        <f>Dienste!B142</f>
        <v>44578</v>
      </c>
      <c r="B71" s="5" t="str">
        <f>Dienste!C142</f>
        <v>44578 Dienst 10 SoF</v>
      </c>
      <c r="C71" s="5" t="str">
        <f>Dienste!D142</f>
        <v>Dienst 10 SoF</v>
      </c>
      <c r="D71" s="1">
        <f t="shared" si="1"/>
        <v>0.11597222222222225</v>
      </c>
      <c r="F71" s="102">
        <v>0.34861111111111115</v>
      </c>
      <c r="G71" s="102">
        <v>0.39583333333333331</v>
      </c>
      <c r="H71" s="102">
        <v>0.53888888888888886</v>
      </c>
      <c r="I71" s="102">
        <v>0.60763888888888895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74AF-6AB3-4F80-AD85-3F62D3E0A588}">
  <dimension ref="A1:N27"/>
  <sheetViews>
    <sheetView workbookViewId="0">
      <selection activeCell="T12" sqref="T12"/>
    </sheetView>
  </sheetViews>
  <sheetFormatPr defaultColWidth="10.90625" defaultRowHeight="14.5"/>
  <cols>
    <col min="1" max="1" width="32" bestFit="1" customWidth="1"/>
    <col min="2" max="2" width="18.54296875" bestFit="1" customWidth="1"/>
    <col min="5" max="5" width="26" style="100" bestFit="1" customWidth="1"/>
    <col min="6" max="6" width="19.7265625" style="100" customWidth="1"/>
    <col min="9" max="9" width="12.7265625" hidden="1" customWidth="1"/>
    <col min="10" max="12" width="0" hidden="1" customWidth="1"/>
    <col min="13" max="13" width="12.26953125" hidden="1" customWidth="1"/>
    <col min="14" max="14" width="0" hidden="1" customWidth="1"/>
  </cols>
  <sheetData>
    <row r="1" spans="1:14">
      <c r="A1" s="2" t="s">
        <v>93</v>
      </c>
      <c r="E1" s="108" t="s">
        <v>92</v>
      </c>
      <c r="F1" s="109">
        <f>B3</f>
        <v>2022</v>
      </c>
      <c r="I1" t="s">
        <v>97</v>
      </c>
      <c r="L1">
        <f>VLOOKUP(B8,J2:K8,2,FALSE)</f>
        <v>4</v>
      </c>
      <c r="M1" t="s">
        <v>97</v>
      </c>
    </row>
    <row r="2" spans="1:14">
      <c r="E2" s="110">
        <v>44562</v>
      </c>
      <c r="F2" s="100" t="s">
        <v>91</v>
      </c>
      <c r="J2" t="s">
        <v>103</v>
      </c>
      <c r="K2">
        <v>-1</v>
      </c>
      <c r="L2">
        <v>1</v>
      </c>
      <c r="M2">
        <f>MOD(L2+$L$1,7)+1</f>
        <v>6</v>
      </c>
      <c r="N2">
        <f>IF(M2&gt;$B$6,1,0)</f>
        <v>0</v>
      </c>
    </row>
    <row r="3" spans="1:14">
      <c r="A3" t="s">
        <v>90</v>
      </c>
      <c r="B3" s="100">
        <v>2022</v>
      </c>
      <c r="E3" s="110">
        <v>44567</v>
      </c>
      <c r="F3" s="100" t="s">
        <v>89</v>
      </c>
      <c r="J3" t="s">
        <v>104</v>
      </c>
      <c r="K3">
        <v>5</v>
      </c>
      <c r="L3" s="5">
        <v>2</v>
      </c>
      <c r="M3" s="5">
        <f t="shared" ref="M3:M8" si="0">MOD(L3+$L$1,7)+1</f>
        <v>7</v>
      </c>
      <c r="N3" s="5">
        <f t="shared" ref="N3:N8" si="1">IF(M3&gt;$B$6,1,0)</f>
        <v>1</v>
      </c>
    </row>
    <row r="4" spans="1:14">
      <c r="A4" t="s">
        <v>87</v>
      </c>
      <c r="B4" s="100" t="s">
        <v>197</v>
      </c>
      <c r="E4" s="110">
        <v>44668</v>
      </c>
      <c r="F4" s="100" t="s">
        <v>86</v>
      </c>
      <c r="J4" t="s">
        <v>98</v>
      </c>
      <c r="K4">
        <v>4</v>
      </c>
      <c r="L4" s="5">
        <v>3</v>
      </c>
      <c r="M4" s="5">
        <f t="shared" si="0"/>
        <v>1</v>
      </c>
      <c r="N4" s="5">
        <f t="shared" si="1"/>
        <v>0</v>
      </c>
    </row>
    <row r="5" spans="1:14">
      <c r="A5" t="s">
        <v>84</v>
      </c>
      <c r="B5" s="100">
        <v>40</v>
      </c>
      <c r="E5" s="110">
        <v>44669</v>
      </c>
      <c r="F5" s="100" t="s">
        <v>83</v>
      </c>
      <c r="J5" t="s">
        <v>99</v>
      </c>
      <c r="K5">
        <v>3</v>
      </c>
      <c r="L5" s="5">
        <v>4</v>
      </c>
      <c r="M5" s="5">
        <f t="shared" si="0"/>
        <v>2</v>
      </c>
      <c r="N5" s="5">
        <f t="shared" si="1"/>
        <v>0</v>
      </c>
    </row>
    <row r="6" spans="1:14">
      <c r="A6" t="s">
        <v>82</v>
      </c>
      <c r="B6" s="100">
        <v>6</v>
      </c>
      <c r="E6" s="110">
        <v>44682</v>
      </c>
      <c r="F6" s="100" t="s">
        <v>81</v>
      </c>
      <c r="J6" t="s">
        <v>100</v>
      </c>
      <c r="K6">
        <v>2</v>
      </c>
      <c r="L6" s="5">
        <v>5</v>
      </c>
      <c r="M6" s="5">
        <f t="shared" si="0"/>
        <v>3</v>
      </c>
      <c r="N6" s="5">
        <f t="shared" si="1"/>
        <v>0</v>
      </c>
    </row>
    <row r="7" spans="1:14">
      <c r="A7" t="s">
        <v>80</v>
      </c>
      <c r="B7" s="112">
        <v>6.67</v>
      </c>
      <c r="E7" s="110">
        <v>44707</v>
      </c>
      <c r="F7" s="100" t="s">
        <v>79</v>
      </c>
      <c r="J7" t="s">
        <v>101</v>
      </c>
      <c r="K7">
        <v>1</v>
      </c>
      <c r="L7" s="5">
        <v>6</v>
      </c>
      <c r="M7" s="5">
        <f t="shared" si="0"/>
        <v>4</v>
      </c>
      <c r="N7" s="5">
        <f t="shared" si="1"/>
        <v>0</v>
      </c>
    </row>
    <row r="8" spans="1:14">
      <c r="A8" t="s">
        <v>96</v>
      </c>
      <c r="B8" s="100" t="s">
        <v>98</v>
      </c>
      <c r="E8" s="110">
        <v>44717</v>
      </c>
      <c r="F8" s="100" t="s">
        <v>78</v>
      </c>
      <c r="J8" t="s">
        <v>102</v>
      </c>
      <c r="K8">
        <v>0</v>
      </c>
      <c r="L8" s="5">
        <v>7</v>
      </c>
      <c r="M8" s="5">
        <f t="shared" si="0"/>
        <v>5</v>
      </c>
      <c r="N8" s="5">
        <f t="shared" si="1"/>
        <v>0</v>
      </c>
    </row>
    <row r="9" spans="1:14">
      <c r="A9" t="s">
        <v>119</v>
      </c>
      <c r="B9" s="106">
        <v>44088</v>
      </c>
      <c r="E9" s="110">
        <v>44718</v>
      </c>
      <c r="F9" s="100" t="s">
        <v>77</v>
      </c>
    </row>
    <row r="10" spans="1:14">
      <c r="E10" s="110">
        <v>44728</v>
      </c>
      <c r="F10" s="100" t="s">
        <v>76</v>
      </c>
    </row>
    <row r="11" spans="1:14">
      <c r="A11" t="s">
        <v>115</v>
      </c>
      <c r="B11" s="111">
        <v>1</v>
      </c>
      <c r="C11" s="111">
        <v>0.20833333333333301</v>
      </c>
      <c r="E11" s="110">
        <v>44788</v>
      </c>
      <c r="F11" s="100" t="s">
        <v>75</v>
      </c>
    </row>
    <row r="12" spans="1:14">
      <c r="A12" t="s">
        <v>165</v>
      </c>
      <c r="B12" s="102">
        <v>6.25E-2</v>
      </c>
      <c r="E12" s="110">
        <v>44860</v>
      </c>
      <c r="F12" s="100" t="s">
        <v>74</v>
      </c>
    </row>
    <row r="13" spans="1:14">
      <c r="A13" t="s">
        <v>137</v>
      </c>
      <c r="B13" s="100">
        <v>30</v>
      </c>
      <c r="E13" s="110">
        <v>44866</v>
      </c>
      <c r="F13" s="100" t="s">
        <v>73</v>
      </c>
    </row>
    <row r="14" spans="1:14">
      <c r="A14" t="s">
        <v>191</v>
      </c>
      <c r="B14" s="121">
        <f>B13/12*(12-MONTH(B9)+1)</f>
        <v>10</v>
      </c>
      <c r="E14" s="110">
        <v>44903</v>
      </c>
      <c r="F14" s="100" t="s">
        <v>72</v>
      </c>
    </row>
    <row r="15" spans="1:14">
      <c r="B15" s="5"/>
      <c r="E15" s="110">
        <v>44920</v>
      </c>
      <c r="F15" s="100" t="s">
        <v>71</v>
      </c>
    </row>
    <row r="16" spans="1:14">
      <c r="E16" s="110">
        <v>44921</v>
      </c>
      <c r="F16" s="100" t="s">
        <v>70</v>
      </c>
    </row>
    <row r="17" spans="1:5">
      <c r="A17" t="s">
        <v>189</v>
      </c>
      <c r="B17" s="100">
        <v>0</v>
      </c>
      <c r="E17" s="110"/>
    </row>
    <row r="18" spans="1:5">
      <c r="E18" s="110"/>
    </row>
    <row r="19" spans="1:5">
      <c r="E19" s="110"/>
    </row>
    <row r="20" spans="1:5">
      <c r="E20" s="110"/>
    </row>
    <row r="25" spans="1:5">
      <c r="E25" s="110"/>
    </row>
    <row r="26" spans="1:5">
      <c r="E26" s="110"/>
    </row>
    <row r="27" spans="1:5">
      <c r="E27" s="110"/>
    </row>
  </sheetData>
  <phoneticPr fontId="2" type="noConversion"/>
  <dataValidations count="1">
    <dataValidation type="list" allowBlank="1" showInputMessage="1" showErrorMessage="1" sqref="B8" xr:uid="{C5206D83-610F-45BB-B0B9-F4D6C76D1E53}">
      <formula1>$J:$J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571E-B43F-4DE5-8F67-3E03B4FD986F}">
  <dimension ref="A1:W1004"/>
  <sheetViews>
    <sheetView topLeftCell="C1" workbookViewId="0">
      <selection activeCell="L14" sqref="L14"/>
    </sheetView>
  </sheetViews>
  <sheetFormatPr defaultColWidth="10.90625" defaultRowHeight="14.5"/>
  <cols>
    <col min="1" max="1" width="13.54296875" customWidth="1"/>
    <col min="2" max="2" width="19.81640625" customWidth="1"/>
    <col min="6" max="6" width="13.7265625" bestFit="1" customWidth="1"/>
    <col min="9" max="9" width="13.1796875" bestFit="1" customWidth="1"/>
    <col min="10" max="10" width="11.453125" style="83" bestFit="1" customWidth="1"/>
    <col min="11" max="11" width="10.6328125" style="5"/>
    <col min="15" max="17" width="10.6328125" customWidth="1"/>
    <col min="18" max="19" width="10.6328125" style="5" customWidth="1"/>
    <col min="22" max="22" width="16" bestFit="1" customWidth="1"/>
  </cols>
  <sheetData>
    <row r="1" spans="1:23">
      <c r="A1" t="s">
        <v>14</v>
      </c>
      <c r="D1" t="s">
        <v>15</v>
      </c>
      <c r="H1" t="s">
        <v>12</v>
      </c>
      <c r="I1" t="str">
        <f>""</f>
        <v/>
      </c>
      <c r="J1" s="83" t="str" cm="1">
        <f t="array" aca="1" ref="J1:J90" ca="1">_xlfn.UNIQUE(I:I)</f>
        <v/>
      </c>
      <c r="K1"/>
      <c r="L1" t="s">
        <v>32</v>
      </c>
      <c r="O1" t="s">
        <v>120</v>
      </c>
      <c r="T1" t="s">
        <v>155</v>
      </c>
      <c r="V1" t="s">
        <v>160</v>
      </c>
      <c r="W1" cm="1">
        <f t="array" ref="W1:W3">_xlfn.UNIQUE(Dienste!A:A)</f>
        <v>0</v>
      </c>
    </row>
    <row r="2" spans="1:23">
      <c r="B2" t="s">
        <v>0</v>
      </c>
      <c r="E2" s="5" t="s">
        <v>17</v>
      </c>
      <c r="F2" s="5" t="s">
        <v>23</v>
      </c>
      <c r="H2">
        <v>3</v>
      </c>
      <c r="I2" t="str" cm="1">
        <f t="array" aca="1" ref="I2" ca="1">INDIRECT("Dienste!D"&amp;H2)</f>
        <v>Krankenstand</v>
      </c>
      <c r="J2" s="83" t="str">
        <f ca="1"/>
        <v>Krankenstand</v>
      </c>
      <c r="M2" t="s">
        <v>33</v>
      </c>
      <c r="P2" t="s">
        <v>164</v>
      </c>
      <c r="Q2">
        <v>1</v>
      </c>
      <c r="R2" s="5" t="str">
        <f>P2</f>
        <v>Jänner</v>
      </c>
      <c r="T2" s="1">
        <f>Datenblatt!B11</f>
        <v>1</v>
      </c>
      <c r="W2">
        <v>44317</v>
      </c>
    </row>
    <row r="3" spans="1:23">
      <c r="B3" t="s">
        <v>1</v>
      </c>
      <c r="E3" s="5" t="s">
        <v>11</v>
      </c>
      <c r="F3" s="5"/>
      <c r="H3">
        <v>4</v>
      </c>
      <c r="I3" s="5" t="str" cm="1">
        <f t="array" aca="1" ref="I3" ca="1">INDIRECT("Dienste!D"&amp;H3)</f>
        <v>Urlaub</v>
      </c>
      <c r="J3" s="83" t="str">
        <f ca="1"/>
        <v>Urlaub</v>
      </c>
      <c r="M3" t="s">
        <v>36</v>
      </c>
      <c r="P3" s="5" t="s">
        <v>121</v>
      </c>
      <c r="Q3" s="5">
        <v>2</v>
      </c>
      <c r="R3" s="5" t="str">
        <f t="shared" ref="R3:R13" si="0">P3</f>
        <v>Februar</v>
      </c>
      <c r="T3" s="1">
        <f>Datenblatt!C11</f>
        <v>0.20833333333333301</v>
      </c>
      <c r="W3">
        <v>44578</v>
      </c>
    </row>
    <row r="4" spans="1:23">
      <c r="B4" t="s">
        <v>27</v>
      </c>
      <c r="E4" s="5" t="s">
        <v>13</v>
      </c>
      <c r="F4" s="5"/>
      <c r="H4" s="5">
        <v>5</v>
      </c>
      <c r="I4" s="5" t="str" cm="1">
        <f t="array" aca="1" ref="I4" ca="1">INDIRECT("Dienste!D"&amp;H4)</f>
        <v>Dienst 1</v>
      </c>
      <c r="J4" s="83" t="str">
        <f ca="1"/>
        <v>Dienst 1</v>
      </c>
      <c r="M4" t="s">
        <v>34</v>
      </c>
      <c r="P4" s="5" t="s">
        <v>122</v>
      </c>
      <c r="Q4" s="5">
        <v>3</v>
      </c>
      <c r="R4" s="5" t="str">
        <f t="shared" si="0"/>
        <v>März</v>
      </c>
    </row>
    <row r="5" spans="1:23">
      <c r="B5" t="s">
        <v>28</v>
      </c>
      <c r="E5" s="5" t="s">
        <v>18</v>
      </c>
      <c r="F5" s="5"/>
      <c r="H5" s="5">
        <v>6</v>
      </c>
      <c r="I5" s="5" t="str" cm="1">
        <f t="array" aca="1" ref="I5" ca="1">INDIRECT("Dienste!D"&amp;H5)</f>
        <v>Dienst 2</v>
      </c>
      <c r="J5" s="83" t="str">
        <f ca="1"/>
        <v>Dienst 2</v>
      </c>
      <c r="M5" t="s">
        <v>35</v>
      </c>
      <c r="P5" s="5" t="s">
        <v>123</v>
      </c>
      <c r="Q5" s="5">
        <v>4</v>
      </c>
      <c r="R5" s="5" t="str">
        <f t="shared" si="0"/>
        <v>April</v>
      </c>
    </row>
    <row r="6" spans="1:23">
      <c r="B6" t="s">
        <v>19</v>
      </c>
      <c r="E6" s="5" t="s">
        <v>22</v>
      </c>
      <c r="F6" s="5" t="s">
        <v>21</v>
      </c>
      <c r="H6" s="5">
        <v>7</v>
      </c>
      <c r="I6" s="5" t="str" cm="1">
        <f t="array" aca="1" ref="I6" ca="1">INDIRECT("Dienste!D"&amp;H6)</f>
        <v>Dienst 3</v>
      </c>
      <c r="J6" s="83" t="str">
        <f ca="1"/>
        <v>Dienst 3</v>
      </c>
      <c r="M6" t="s">
        <v>37</v>
      </c>
      <c r="P6" s="5" t="s">
        <v>124</v>
      </c>
      <c r="Q6" s="5">
        <v>5</v>
      </c>
      <c r="R6" s="5" t="str">
        <f t="shared" si="0"/>
        <v>Mai</v>
      </c>
    </row>
    <row r="7" spans="1:23">
      <c r="B7" t="s">
        <v>20</v>
      </c>
      <c r="E7" s="5" t="s">
        <v>26</v>
      </c>
      <c r="F7" s="5" t="s">
        <v>25</v>
      </c>
      <c r="H7" s="5">
        <v>8</v>
      </c>
      <c r="I7" s="5" t="str" cm="1">
        <f t="array" aca="1" ref="I7" ca="1">INDIRECT("Dienste!D"&amp;H7)</f>
        <v>Dienst 4</v>
      </c>
      <c r="J7" s="83" t="str">
        <f ca="1"/>
        <v>Dienst 4</v>
      </c>
      <c r="M7" t="s">
        <v>106</v>
      </c>
      <c r="P7" s="5" t="s">
        <v>125</v>
      </c>
      <c r="Q7" s="5">
        <v>6</v>
      </c>
      <c r="R7" s="5" t="str">
        <f t="shared" si="0"/>
        <v>Juni</v>
      </c>
    </row>
    <row r="8" spans="1:23">
      <c r="B8" t="s">
        <v>24</v>
      </c>
      <c r="E8" s="5" t="s">
        <v>30</v>
      </c>
      <c r="F8" s="5" t="s">
        <v>31</v>
      </c>
      <c r="H8" s="5">
        <v>9</v>
      </c>
      <c r="I8" s="5" t="str" cm="1">
        <f t="array" aca="1" ref="I8" ca="1">INDIRECT("Dienste!D"&amp;H8)</f>
        <v>Dienst 5</v>
      </c>
      <c r="J8" s="83" t="str">
        <f ca="1"/>
        <v>Dienst 5</v>
      </c>
      <c r="P8" s="5" t="s">
        <v>126</v>
      </c>
      <c r="Q8" s="5">
        <v>7</v>
      </c>
      <c r="R8" s="5" t="str">
        <f t="shared" si="0"/>
        <v>Juli</v>
      </c>
    </row>
    <row r="9" spans="1:23">
      <c r="B9" t="s">
        <v>29</v>
      </c>
      <c r="E9" s="5" t="s">
        <v>105</v>
      </c>
      <c r="F9" s="5"/>
      <c r="H9" s="5">
        <v>10</v>
      </c>
      <c r="I9" s="5" t="str" cm="1">
        <f t="array" aca="1" ref="I9" ca="1">INDIRECT("Dienste!D"&amp;H9)</f>
        <v>Dienst 6</v>
      </c>
      <c r="J9" s="83" t="str">
        <f ca="1"/>
        <v>Dienst 6</v>
      </c>
      <c r="P9" s="5" t="s">
        <v>127</v>
      </c>
      <c r="Q9" s="5">
        <v>8</v>
      </c>
      <c r="R9" s="5" t="str">
        <f t="shared" si="0"/>
        <v>August</v>
      </c>
    </row>
    <row r="10" spans="1:23">
      <c r="B10" t="s">
        <v>107</v>
      </c>
      <c r="H10" s="5">
        <v>11</v>
      </c>
      <c r="I10" s="5" t="str" cm="1">
        <f t="array" aca="1" ref="I10" ca="1">INDIRECT("Dienste!D"&amp;H10)</f>
        <v>Dienst 7</v>
      </c>
      <c r="J10" s="83" t="str">
        <f ca="1"/>
        <v>Dienst 7</v>
      </c>
      <c r="P10" s="5" t="s">
        <v>40</v>
      </c>
      <c r="Q10" s="5">
        <v>9</v>
      </c>
      <c r="R10" s="5" t="str">
        <f t="shared" si="0"/>
        <v>September</v>
      </c>
    </row>
    <row r="11" spans="1:23">
      <c r="B11" t="s">
        <v>108</v>
      </c>
      <c r="H11" s="5">
        <v>12</v>
      </c>
      <c r="I11" s="5" t="str" cm="1">
        <f t="array" aca="1" ref="I11" ca="1">INDIRECT("Dienste!D"&amp;H11)</f>
        <v>Dienst 8</v>
      </c>
      <c r="J11" s="83" t="str">
        <f ca="1"/>
        <v>Dienst 8</v>
      </c>
      <c r="P11" s="5" t="s">
        <v>128</v>
      </c>
      <c r="Q11" s="5">
        <v>10</v>
      </c>
      <c r="R11" s="5" t="str">
        <f t="shared" si="0"/>
        <v>Oktober</v>
      </c>
    </row>
    <row r="12" spans="1:23">
      <c r="B12" t="s">
        <v>109</v>
      </c>
      <c r="H12" s="5">
        <v>13</v>
      </c>
      <c r="I12" s="5" t="str" cm="1">
        <f t="array" aca="1" ref="I12" ca="1">INDIRECT("Dienste!D"&amp;H12)</f>
        <v>Dienst 9</v>
      </c>
      <c r="J12" s="83" t="str">
        <f ca="1"/>
        <v>Dienst 9</v>
      </c>
      <c r="P12" s="5" t="s">
        <v>129</v>
      </c>
      <c r="Q12" s="5">
        <v>11</v>
      </c>
      <c r="R12" s="5" t="str">
        <f t="shared" si="0"/>
        <v>November</v>
      </c>
    </row>
    <row r="13" spans="1:23">
      <c r="B13" t="s">
        <v>110</v>
      </c>
      <c r="H13" s="5">
        <v>14</v>
      </c>
      <c r="I13" s="5" t="str" cm="1">
        <f t="array" aca="1" ref="I13" ca="1">INDIRECT("Dienste!D"&amp;H13)</f>
        <v>Dienst 10</v>
      </c>
      <c r="J13" s="83" t="str">
        <f ca="1"/>
        <v>Dienst 10</v>
      </c>
      <c r="P13" s="5" t="s">
        <v>130</v>
      </c>
      <c r="Q13" s="5">
        <v>12</v>
      </c>
      <c r="R13" s="5" t="str">
        <f t="shared" si="0"/>
        <v>Dezember</v>
      </c>
    </row>
    <row r="14" spans="1:23">
      <c r="B14" t="s">
        <v>111</v>
      </c>
      <c r="H14" s="5">
        <v>15</v>
      </c>
      <c r="I14" s="5" t="str" cm="1">
        <f t="array" aca="1" ref="I14" ca="1">INDIRECT("Dienste!D"&amp;H14)</f>
        <v>Dienst 11</v>
      </c>
      <c r="J14" s="83" t="str">
        <f ca="1"/>
        <v>Dienst 11</v>
      </c>
    </row>
    <row r="15" spans="1:23">
      <c r="H15" s="5">
        <v>16</v>
      </c>
      <c r="I15" s="5" t="str" cm="1">
        <f t="array" aca="1" ref="I15" ca="1">INDIRECT("Dienste!D"&amp;H15)</f>
        <v>Dienst 12</v>
      </c>
      <c r="J15" s="83" t="str">
        <f ca="1"/>
        <v>Dienst 12</v>
      </c>
    </row>
    <row r="16" spans="1:23">
      <c r="H16" s="5">
        <v>17</v>
      </c>
      <c r="I16" s="5" t="str" cm="1">
        <f t="array" aca="1" ref="I16" ca="1">INDIRECT("Dienste!D"&amp;H16)</f>
        <v>Dienst 13</v>
      </c>
      <c r="J16" s="83" t="str">
        <f ca="1"/>
        <v>Dienst 13</v>
      </c>
    </row>
    <row r="17" spans="8:11">
      <c r="H17" s="5">
        <v>18</v>
      </c>
      <c r="I17" s="5" t="str" cm="1">
        <f t="array" aca="1" ref="I17" ca="1">INDIRECT("Dienste!D"&amp;H17)</f>
        <v>Dienst 14</v>
      </c>
      <c r="J17" s="83" t="str">
        <f ca="1"/>
        <v>Dienst 14</v>
      </c>
      <c r="K17" s="44"/>
    </row>
    <row r="18" spans="8:11">
      <c r="H18" s="5">
        <v>19</v>
      </c>
      <c r="I18" s="5" t="str" cm="1">
        <f t="array" aca="1" ref="I18" ca="1">INDIRECT("Dienste!D"&amp;H18)</f>
        <v>Dienst 15</v>
      </c>
      <c r="J18" s="83" t="str">
        <f ca="1"/>
        <v>Dienst 15</v>
      </c>
      <c r="K18" s="44"/>
    </row>
    <row r="19" spans="8:11">
      <c r="H19" s="5">
        <v>20</v>
      </c>
      <c r="I19" s="5" t="str" cm="1">
        <f t="array" aca="1" ref="I19" ca="1">INDIRECT("Dienste!D"&amp;H19)</f>
        <v>Dienst 16</v>
      </c>
      <c r="J19" s="83" t="str">
        <f ca="1"/>
        <v>Dienst 16</v>
      </c>
      <c r="K19" s="44"/>
    </row>
    <row r="20" spans="8:11">
      <c r="H20" s="5">
        <v>21</v>
      </c>
      <c r="I20" s="5" t="str" cm="1">
        <f t="array" aca="1" ref="I20" ca="1">INDIRECT("Dienste!D"&amp;H20)</f>
        <v>Dienst 17</v>
      </c>
      <c r="J20" s="83" t="str">
        <f ca="1"/>
        <v>Dienst 17</v>
      </c>
    </row>
    <row r="21" spans="8:11">
      <c r="H21" s="5">
        <v>22</v>
      </c>
      <c r="I21" s="5" t="str" cm="1">
        <f t="array" aca="1" ref="I21" ca="1">INDIRECT("Dienste!D"&amp;H21)</f>
        <v>Dienst 18</v>
      </c>
      <c r="J21" s="83" t="str">
        <f ca="1"/>
        <v>Dienst 18</v>
      </c>
    </row>
    <row r="22" spans="8:11">
      <c r="H22" s="5">
        <v>23</v>
      </c>
      <c r="I22" s="5" t="str" cm="1">
        <f t="array" aca="1" ref="I22" ca="1">INDIRECT("Dienste!D"&amp;H22)</f>
        <v>Dienst 19</v>
      </c>
      <c r="J22" s="83" t="str">
        <f ca="1"/>
        <v>Dienst 19</v>
      </c>
    </row>
    <row r="23" spans="8:11">
      <c r="H23" s="5">
        <v>24</v>
      </c>
      <c r="I23" s="5" t="str" cm="1">
        <f t="array" aca="1" ref="I23" ca="1">INDIRECT("Dienste!D"&amp;H23)</f>
        <v>Dienst 20</v>
      </c>
      <c r="J23" s="83" t="str">
        <f ca="1"/>
        <v>Dienst 20</v>
      </c>
    </row>
    <row r="24" spans="8:11">
      <c r="H24" s="5">
        <v>25</v>
      </c>
      <c r="I24" s="5" t="str" cm="1">
        <f t="array" aca="1" ref="I24" ca="1">INDIRECT("Dienste!D"&amp;H24)</f>
        <v>Dienst 21</v>
      </c>
      <c r="J24" s="83" t="str">
        <f ca="1"/>
        <v>Dienst 21</v>
      </c>
    </row>
    <row r="25" spans="8:11">
      <c r="H25" s="5">
        <v>26</v>
      </c>
      <c r="I25" s="5" t="str" cm="1">
        <f t="array" aca="1" ref="I25" ca="1">INDIRECT("Dienste!D"&amp;H25)</f>
        <v>Dienst 22</v>
      </c>
      <c r="J25" s="83" t="str">
        <f ca="1"/>
        <v>Dienst 22</v>
      </c>
    </row>
    <row r="26" spans="8:11">
      <c r="H26" s="5">
        <v>27</v>
      </c>
      <c r="I26" s="5" t="str" cm="1">
        <f t="array" aca="1" ref="I26" ca="1">INDIRECT("Dienste!D"&amp;H26)</f>
        <v>Dienst 23 mR</v>
      </c>
      <c r="J26" s="83" t="str">
        <f ca="1"/>
        <v>Dienst 23 mR</v>
      </c>
    </row>
    <row r="27" spans="8:11">
      <c r="H27" s="5">
        <v>28</v>
      </c>
      <c r="I27" s="5" t="str" cm="1">
        <f t="array" aca="1" ref="I27" ca="1">INDIRECT("Dienste!D"&amp;H27)</f>
        <v>Dienst 23 oR</v>
      </c>
      <c r="J27" s="83" t="str">
        <f ca="1"/>
        <v>Dienst 23 oR</v>
      </c>
    </row>
    <row r="28" spans="8:11">
      <c r="H28" s="5">
        <v>29</v>
      </c>
      <c r="I28" s="5" t="str" cm="1">
        <f t="array" aca="1" ref="I28" ca="1">INDIRECT("Dienste!D"&amp;H28)</f>
        <v>Dienst 24 mR</v>
      </c>
      <c r="J28" s="83" t="str">
        <f ca="1"/>
        <v>Dienst 24 mR</v>
      </c>
    </row>
    <row r="29" spans="8:11">
      <c r="H29" s="5">
        <v>30</v>
      </c>
      <c r="I29" s="5" t="str" cm="1">
        <f t="array" aca="1" ref="I29" ca="1">INDIRECT("Dienste!D"&amp;H29)</f>
        <v>Dienst 24 oR</v>
      </c>
      <c r="J29" s="83" t="str">
        <f ca="1"/>
        <v>Dienst 24 oR</v>
      </c>
    </row>
    <row r="30" spans="8:11">
      <c r="H30" s="5">
        <v>31</v>
      </c>
      <c r="I30" s="5" t="str" cm="1">
        <f t="array" aca="1" ref="I30" ca="1">INDIRECT("Dienste!D"&amp;H30)</f>
        <v>Dienst 25</v>
      </c>
      <c r="J30" s="83" t="str">
        <f ca="1"/>
        <v>Dienst 25</v>
      </c>
    </row>
    <row r="31" spans="8:11">
      <c r="H31" s="5">
        <v>32</v>
      </c>
      <c r="I31" s="5" t="str" cm="1">
        <f t="array" aca="1" ref="I31" ca="1">INDIRECT("Dienste!D"&amp;H31)</f>
        <v>Dienst 26</v>
      </c>
      <c r="J31" s="83" t="str">
        <f ca="1"/>
        <v>Dienst 26</v>
      </c>
    </row>
    <row r="32" spans="8:11">
      <c r="H32" s="5">
        <v>33</v>
      </c>
      <c r="I32" s="5" t="str" cm="1">
        <f t="array" aca="1" ref="I32" ca="1">INDIRECT("Dienste!D"&amp;H32)</f>
        <v>Dienst 27</v>
      </c>
      <c r="J32" s="83" t="str">
        <f ca="1"/>
        <v>Dienst 27</v>
      </c>
    </row>
    <row r="33" spans="8:10">
      <c r="H33" s="5">
        <v>34</v>
      </c>
      <c r="I33" s="5" t="str" cm="1">
        <f t="array" aca="1" ref="I33" ca="1">INDIRECT("Dienste!D"&amp;H33)</f>
        <v>Dienst 28</v>
      </c>
      <c r="J33" s="83" t="str">
        <f ca="1"/>
        <v>Dienst 28</v>
      </c>
    </row>
    <row r="34" spans="8:10">
      <c r="H34" s="5">
        <v>35</v>
      </c>
      <c r="I34" s="5" t="str" cm="1">
        <f t="array" aca="1" ref="I34" ca="1">INDIRECT("Dienste!D"&amp;H34)</f>
        <v>Dienst 1 Sa</v>
      </c>
      <c r="J34" s="83" t="str">
        <f ca="1"/>
        <v>Dienst 1 Sa</v>
      </c>
    </row>
    <row r="35" spans="8:10">
      <c r="H35" s="5">
        <v>36</v>
      </c>
      <c r="I35" s="5" t="str" cm="1">
        <f t="array" aca="1" ref="I35" ca="1">INDIRECT("Dienste!D"&amp;H35)</f>
        <v>Dienst 2 Sa</v>
      </c>
      <c r="J35" s="83" t="str">
        <f ca="1"/>
        <v>Dienst 2 Sa</v>
      </c>
    </row>
    <row r="36" spans="8:10">
      <c r="H36" s="5">
        <v>37</v>
      </c>
      <c r="I36" s="5" t="str" cm="1">
        <f t="array" aca="1" ref="I36" ca="1">INDIRECT("Dienste!D"&amp;H36)</f>
        <v>Dienst 3 Sa</v>
      </c>
      <c r="J36" s="83" t="str">
        <f ca="1"/>
        <v>Dienst 3 Sa</v>
      </c>
    </row>
    <row r="37" spans="8:10">
      <c r="H37" s="5">
        <v>38</v>
      </c>
      <c r="I37" s="5" t="str" cm="1">
        <f t="array" aca="1" ref="I37" ca="1">INDIRECT("Dienste!D"&amp;H37)</f>
        <v>Dienst 4 Sa</v>
      </c>
      <c r="J37" s="83" t="str">
        <f ca="1"/>
        <v>Dienst 4 Sa</v>
      </c>
    </row>
    <row r="38" spans="8:10">
      <c r="H38" s="5">
        <v>39</v>
      </c>
      <c r="I38" s="5" t="str" cm="1">
        <f t="array" aca="1" ref="I38" ca="1">INDIRECT("Dienste!D"&amp;H38)</f>
        <v>Dienst 5 Sa</v>
      </c>
      <c r="J38" s="83" t="str">
        <f ca="1"/>
        <v>Dienst 5 Sa</v>
      </c>
    </row>
    <row r="39" spans="8:10">
      <c r="H39" s="5">
        <v>40</v>
      </c>
      <c r="I39" s="5" t="str" cm="1">
        <f t="array" aca="1" ref="I39" ca="1">INDIRECT("Dienste!D"&amp;H39)</f>
        <v>Dienst 6 Sa</v>
      </c>
      <c r="J39" s="83" t="str">
        <f ca="1"/>
        <v>Dienst 6 Sa</v>
      </c>
    </row>
    <row r="40" spans="8:10">
      <c r="H40" s="5">
        <v>41</v>
      </c>
      <c r="I40" s="5" t="str" cm="1">
        <f t="array" aca="1" ref="I40" ca="1">INDIRECT("Dienste!D"&amp;H40)</f>
        <v>Dienst 7 Sa</v>
      </c>
      <c r="J40" s="83" t="str">
        <f ca="1"/>
        <v>Dienst 7 Sa</v>
      </c>
    </row>
    <row r="41" spans="8:10">
      <c r="H41" s="5">
        <v>42</v>
      </c>
      <c r="I41" s="5" t="str" cm="1">
        <f t="array" aca="1" ref="I41" ca="1">INDIRECT("Dienste!D"&amp;H41)</f>
        <v>Dienst 8 Sa</v>
      </c>
      <c r="J41" s="83" t="str">
        <f ca="1"/>
        <v>Dienst 8 Sa</v>
      </c>
    </row>
    <row r="42" spans="8:10">
      <c r="H42" s="5">
        <v>43</v>
      </c>
      <c r="I42" s="5" t="str" cm="1">
        <f t="array" aca="1" ref="I42" ca="1">INDIRECT("Dienste!D"&amp;H42)</f>
        <v>Dienst 9 Sa mR</v>
      </c>
      <c r="J42" s="83" t="str">
        <f ca="1"/>
        <v>Dienst 9 Sa mR</v>
      </c>
    </row>
    <row r="43" spans="8:10">
      <c r="H43" s="5">
        <v>44</v>
      </c>
      <c r="I43" s="5" t="str" cm="1">
        <f t="array" aca="1" ref="I43" ca="1">INDIRECT("Dienste!D"&amp;H43)</f>
        <v>Dienst 9 Sa oR</v>
      </c>
      <c r="J43" s="83" t="str">
        <f ca="1"/>
        <v>Dienst 9 Sa oR</v>
      </c>
    </row>
    <row r="44" spans="8:10">
      <c r="H44" s="5">
        <v>45</v>
      </c>
      <c r="I44" s="5" t="str" cm="1">
        <f t="array" aca="1" ref="I44" ca="1">INDIRECT("Dienste!D"&amp;H44)</f>
        <v>Dienst 10 Sa</v>
      </c>
      <c r="J44" s="83" t="str">
        <f ca="1"/>
        <v>Dienst 10 Sa</v>
      </c>
    </row>
    <row r="45" spans="8:10">
      <c r="H45" s="5">
        <v>46</v>
      </c>
      <c r="I45" s="5" t="str" cm="1">
        <f t="array" aca="1" ref="I45" ca="1">INDIRECT("Dienste!D"&amp;H45)</f>
        <v>Dienst 11 Sa</v>
      </c>
      <c r="J45" s="83" t="str">
        <f ca="1"/>
        <v>Dienst 11 Sa</v>
      </c>
    </row>
    <row r="46" spans="8:10">
      <c r="H46" s="5">
        <v>47</v>
      </c>
      <c r="I46" s="5" t="str" cm="1">
        <f t="array" aca="1" ref="I46" ca="1">INDIRECT("Dienste!D"&amp;H46)</f>
        <v>Dienst 12 Sa</v>
      </c>
      <c r="J46" s="83" t="str">
        <f ca="1"/>
        <v>Dienst 12 Sa</v>
      </c>
    </row>
    <row r="47" spans="8:10">
      <c r="H47" s="5">
        <v>48</v>
      </c>
      <c r="I47" s="5" t="str" cm="1">
        <f t="array" aca="1" ref="I47" ca="1">INDIRECT("Dienste!D"&amp;H47)</f>
        <v>Dienst 13 Sa</v>
      </c>
      <c r="J47" s="83" t="str">
        <f ca="1"/>
        <v>Dienst 13 Sa</v>
      </c>
    </row>
    <row r="48" spans="8:10">
      <c r="H48" s="5">
        <v>49</v>
      </c>
      <c r="I48" s="5" t="str" cm="1">
        <f t="array" aca="1" ref="I48" ca="1">INDIRECT("Dienste!D"&amp;H48)</f>
        <v>Dienst 14 Sa</v>
      </c>
      <c r="J48" s="83" t="str">
        <f ca="1"/>
        <v>Dienst 14 Sa</v>
      </c>
    </row>
    <row r="49" spans="8:10">
      <c r="H49" s="5">
        <v>50</v>
      </c>
      <c r="I49" s="5" t="str" cm="1">
        <f t="array" aca="1" ref="I49" ca="1">INDIRECT("Dienste!D"&amp;H49)</f>
        <v>Dienst 15 Sa</v>
      </c>
      <c r="J49" s="83" t="str">
        <f ca="1"/>
        <v>Dienst 15 Sa</v>
      </c>
    </row>
    <row r="50" spans="8:10">
      <c r="H50" s="5">
        <v>51</v>
      </c>
      <c r="I50" s="5" t="str" cm="1">
        <f t="array" aca="1" ref="I50" ca="1">INDIRECT("Dienste!D"&amp;H50)</f>
        <v>Dienst 16 Sa mR</v>
      </c>
      <c r="J50" s="83" t="str">
        <f ca="1"/>
        <v>Dienst 16 Sa mR</v>
      </c>
    </row>
    <row r="51" spans="8:10">
      <c r="H51" s="5">
        <v>52</v>
      </c>
      <c r="I51" s="5" t="str" cm="1">
        <f t="array" aca="1" ref="I51" ca="1">INDIRECT("Dienste!D"&amp;H51)</f>
        <v>Dienst 16 Sa oR</v>
      </c>
      <c r="J51" s="83" t="str">
        <f ca="1"/>
        <v>Dienst 16 Sa oR</v>
      </c>
    </row>
    <row r="52" spans="8:10">
      <c r="H52" s="5">
        <v>53</v>
      </c>
      <c r="I52" s="5" t="str" cm="1">
        <f t="array" aca="1" ref="I52" ca="1">INDIRECT("Dienste!D"&amp;H52)</f>
        <v>Dienst 17 Sa</v>
      </c>
      <c r="J52" s="83" t="str">
        <f ca="1"/>
        <v>Dienst 17 Sa</v>
      </c>
    </row>
    <row r="53" spans="8:10">
      <c r="H53" s="5">
        <v>54</v>
      </c>
      <c r="I53" s="5" t="str" cm="1">
        <f t="array" aca="1" ref="I53" ca="1">INDIRECT("Dienste!D"&amp;H53)</f>
        <v>Dienst 18 Sa</v>
      </c>
      <c r="J53" s="83" t="str">
        <f ca="1"/>
        <v>Dienst 18 Sa</v>
      </c>
    </row>
    <row r="54" spans="8:10">
      <c r="H54" s="5">
        <v>55</v>
      </c>
      <c r="I54" s="5" t="str" cm="1">
        <f t="array" aca="1" ref="I54" ca="1">INDIRECT("Dienste!D"&amp;H54)</f>
        <v>Dienst 19 Sa</v>
      </c>
      <c r="J54" s="83" t="str">
        <f ca="1"/>
        <v>Dienst 19 Sa</v>
      </c>
    </row>
    <row r="55" spans="8:10">
      <c r="H55" s="5">
        <v>56</v>
      </c>
      <c r="I55" s="5" t="str" cm="1">
        <f t="array" aca="1" ref="I55" ca="1">INDIRECT("Dienste!D"&amp;H55)</f>
        <v>Dienst 20 Sa</v>
      </c>
      <c r="J55" s="83" t="str">
        <f ca="1"/>
        <v>Dienst 20 Sa</v>
      </c>
    </row>
    <row r="56" spans="8:10">
      <c r="H56" s="5">
        <v>57</v>
      </c>
      <c r="I56" s="5" t="str" cm="1">
        <f t="array" aca="1" ref="I56" ca="1">INDIRECT("Dienste!D"&amp;H56)</f>
        <v>Dienst 21 Sa</v>
      </c>
      <c r="J56" s="83" t="str">
        <f ca="1"/>
        <v>Dienst 21 Sa</v>
      </c>
    </row>
    <row r="57" spans="8:10">
      <c r="H57" s="5">
        <v>58</v>
      </c>
      <c r="I57" s="5" t="str" cm="1">
        <f t="array" aca="1" ref="I57" ca="1">INDIRECT("Dienste!D"&amp;H57)</f>
        <v>Dienst 22 Sa</v>
      </c>
      <c r="J57" s="83" t="str">
        <f ca="1"/>
        <v>Dienst 22 Sa</v>
      </c>
    </row>
    <row r="58" spans="8:10">
      <c r="H58" s="5">
        <v>59</v>
      </c>
      <c r="I58" s="5" t="str" cm="1">
        <f t="array" aca="1" ref="I58" ca="1">INDIRECT("Dienste!D"&amp;H58)</f>
        <v>Dienst 23 Sa mR</v>
      </c>
      <c r="J58" s="83" t="str">
        <f ca="1"/>
        <v>Dienst 23 Sa mR</v>
      </c>
    </row>
    <row r="59" spans="8:10">
      <c r="H59" s="5">
        <v>60</v>
      </c>
      <c r="I59" s="5" t="str" cm="1">
        <f t="array" aca="1" ref="I59" ca="1">INDIRECT("Dienste!D"&amp;H59)</f>
        <v>Dienst 23 Sa oR</v>
      </c>
      <c r="J59" s="83" t="str">
        <f ca="1"/>
        <v>Dienst 23 Sa oR</v>
      </c>
    </row>
    <row r="60" spans="8:10">
      <c r="H60" s="5">
        <v>61</v>
      </c>
      <c r="I60" s="5" t="str" cm="1">
        <f t="array" aca="1" ref="I60" ca="1">INDIRECT("Dienste!D"&amp;H60)</f>
        <v>Dienst 24 Sa mR</v>
      </c>
      <c r="J60" s="83" t="str">
        <f ca="1"/>
        <v>Dienst 24 Sa mR</v>
      </c>
    </row>
    <row r="61" spans="8:10">
      <c r="H61" s="5">
        <v>62</v>
      </c>
      <c r="I61" s="5" t="str" cm="1">
        <f t="array" aca="1" ref="I61" ca="1">INDIRECT("Dienste!D"&amp;H61)</f>
        <v>Dienst 24 Sa oR</v>
      </c>
      <c r="J61" s="83" t="str">
        <f ca="1"/>
        <v>Dienst 24 Sa oR</v>
      </c>
    </row>
    <row r="62" spans="8:10">
      <c r="H62" s="5">
        <v>63</v>
      </c>
      <c r="I62" s="5" t="str" cm="1">
        <f t="array" aca="1" ref="I62" ca="1">INDIRECT("Dienste!D"&amp;H62)</f>
        <v>Dienst 25 Sa</v>
      </c>
      <c r="J62" s="83" t="str">
        <f ca="1"/>
        <v>Dienst 25 Sa</v>
      </c>
    </row>
    <row r="63" spans="8:10">
      <c r="H63" s="5">
        <v>64</v>
      </c>
      <c r="I63" s="5" t="str" cm="1">
        <f t="array" aca="1" ref="I63" ca="1">INDIRECT("Dienste!D"&amp;H63)</f>
        <v>Dienst 26 Sa mR</v>
      </c>
      <c r="J63" s="83" t="str">
        <f ca="1"/>
        <v>Dienst 26 Sa mR</v>
      </c>
    </row>
    <row r="64" spans="8:10">
      <c r="H64" s="5">
        <v>65</v>
      </c>
      <c r="I64" s="5" t="str" cm="1">
        <f t="array" aca="1" ref="I64" ca="1">INDIRECT("Dienste!D"&amp;H64)</f>
        <v>Dienst 26 Sa oR</v>
      </c>
      <c r="J64" s="83" t="str">
        <f ca="1"/>
        <v>Dienst 26 Sa oR</v>
      </c>
    </row>
    <row r="65" spans="8:10">
      <c r="H65" s="5">
        <v>66</v>
      </c>
      <c r="I65" s="5" t="str" cm="1">
        <f t="array" aca="1" ref="I65" ca="1">INDIRECT("Dienste!D"&amp;H65)</f>
        <v>Dienst 1 SoF</v>
      </c>
      <c r="J65" s="83" t="str">
        <f ca="1"/>
        <v>Dienst 1 SoF</v>
      </c>
    </row>
    <row r="66" spans="8:10">
      <c r="H66" s="5">
        <v>67</v>
      </c>
      <c r="I66" s="5" t="str" cm="1">
        <f t="array" aca="1" ref="I66" ca="1">INDIRECT("Dienste!D"&amp;H66)</f>
        <v>Dienst 2 SoF</v>
      </c>
      <c r="J66" s="83" t="str">
        <f ca="1"/>
        <v>Dienst 2 SoF</v>
      </c>
    </row>
    <row r="67" spans="8:10">
      <c r="H67" s="5">
        <v>68</v>
      </c>
      <c r="I67" s="5" t="str" cm="1">
        <f t="array" aca="1" ref="I67" ca="1">INDIRECT("Dienste!D"&amp;H67)</f>
        <v>Dienst 3 SoF</v>
      </c>
      <c r="J67" s="83" t="str">
        <f ca="1"/>
        <v>Dienst 3 SoF</v>
      </c>
    </row>
    <row r="68" spans="8:10">
      <c r="H68" s="5">
        <v>69</v>
      </c>
      <c r="I68" s="5" t="str" cm="1">
        <f t="array" aca="1" ref="I68" ca="1">INDIRECT("Dienste!D"&amp;H68)</f>
        <v>Dienst 4 SoF</v>
      </c>
      <c r="J68" s="83" t="str">
        <f ca="1"/>
        <v>Dienst 4 SoF</v>
      </c>
    </row>
    <row r="69" spans="8:10">
      <c r="H69" s="5">
        <v>70</v>
      </c>
      <c r="I69" s="5" t="str" cm="1">
        <f t="array" aca="1" ref="I69" ca="1">INDIRECT("Dienste!D"&amp;H69)</f>
        <v>Dienst 5 SoF</v>
      </c>
      <c r="J69" s="83" t="str">
        <f ca="1"/>
        <v>Dienst 5 SoF</v>
      </c>
    </row>
    <row r="70" spans="8:10">
      <c r="H70" s="5">
        <v>71</v>
      </c>
      <c r="I70" s="5" t="str" cm="1">
        <f t="array" aca="1" ref="I70" ca="1">INDIRECT("Dienste!D"&amp;H70)</f>
        <v>Dienst 6 SoF</v>
      </c>
      <c r="J70" s="83" t="str">
        <f ca="1"/>
        <v>Dienst 6 SoF</v>
      </c>
    </row>
    <row r="71" spans="8:10">
      <c r="H71" s="5">
        <v>72</v>
      </c>
      <c r="I71" s="5" t="str" cm="1">
        <f t="array" aca="1" ref="I71" ca="1">INDIRECT("Dienste!D"&amp;H71)</f>
        <v>Dienst 7 SoF</v>
      </c>
      <c r="J71" s="83" t="str">
        <f ca="1"/>
        <v>Dienst 7 SoF</v>
      </c>
    </row>
    <row r="72" spans="8:10">
      <c r="H72" s="5">
        <v>73</v>
      </c>
      <c r="I72" s="5" t="str" cm="1">
        <f t="array" aca="1" ref="I72" ca="1">INDIRECT("Dienste!D"&amp;H72)</f>
        <v>Dienst 8 SoF</v>
      </c>
      <c r="J72" s="83" t="str">
        <f ca="1"/>
        <v>Dienst 8 SoF</v>
      </c>
    </row>
    <row r="73" spans="8:10">
      <c r="H73" s="5">
        <v>74</v>
      </c>
      <c r="I73" s="5" t="str" cm="1">
        <f t="array" aca="1" ref="I73" ca="1">INDIRECT("Dienste!D"&amp;H73)</f>
        <v>Dienst 9 SoF</v>
      </c>
      <c r="J73" s="83" t="str">
        <f ca="1"/>
        <v>Dienst 9 SoF</v>
      </c>
    </row>
    <row r="74" spans="8:10">
      <c r="H74" s="5">
        <v>75</v>
      </c>
      <c r="I74" s="5" t="str" cm="1">
        <f t="array" aca="1" ref="I74" ca="1">INDIRECT("Dienste!D"&amp;H74)</f>
        <v>Dienst 10 SoF</v>
      </c>
      <c r="J74" s="83" t="str">
        <f ca="1"/>
        <v>Dienst 10 SoF</v>
      </c>
    </row>
    <row r="75" spans="8:10">
      <c r="H75" s="5">
        <v>76</v>
      </c>
      <c r="I75" s="5" t="str" cm="1">
        <f t="array" aca="1" ref="I75" ca="1">INDIRECT("Dienste!D"&amp;H75)</f>
        <v>Dienst 1</v>
      </c>
      <c r="J75" s="83" t="str">
        <f ca="1"/>
        <v>Dienst 22 O</v>
      </c>
    </row>
    <row r="76" spans="8:10">
      <c r="H76" s="5">
        <v>77</v>
      </c>
      <c r="I76" s="5" t="str" cm="1">
        <f t="array" aca="1" ref="I76" ca="1">INDIRECT("Dienste!D"&amp;H76)</f>
        <v>Dienst 2</v>
      </c>
      <c r="J76" s="83" t="str">
        <f ca="1"/>
        <v>Dienst 23</v>
      </c>
    </row>
    <row r="77" spans="8:10">
      <c r="H77" s="5">
        <v>78</v>
      </c>
      <c r="I77" s="5" t="str" cm="1">
        <f t="array" aca="1" ref="I77" ca="1">INDIRECT("Dienste!D"&amp;H77)</f>
        <v>Dienst 3</v>
      </c>
      <c r="J77" s="83" t="str">
        <f ca="1"/>
        <v>Dienst 24</v>
      </c>
    </row>
    <row r="78" spans="8:10">
      <c r="H78" s="5">
        <v>79</v>
      </c>
      <c r="I78" s="5" t="str" cm="1">
        <f t="array" aca="1" ref="I78" ca="1">INDIRECT("Dienste!D"&amp;H78)</f>
        <v>Dienst 4</v>
      </c>
      <c r="J78" s="83" t="str">
        <f ca="1"/>
        <v>Dienst 26 oR</v>
      </c>
    </row>
    <row r="79" spans="8:10">
      <c r="H79" s="5">
        <v>80</v>
      </c>
      <c r="I79" s="5" t="str" cm="1">
        <f t="array" aca="1" ref="I79" ca="1">INDIRECT("Dienste!D"&amp;H79)</f>
        <v>Dienst 5</v>
      </c>
      <c r="J79" s="83" t="str">
        <f ca="1"/>
        <v>Dienst 26 mR</v>
      </c>
    </row>
    <row r="80" spans="8:10">
      <c r="H80" s="5">
        <v>81</v>
      </c>
      <c r="I80" s="5" t="str" cm="1">
        <f t="array" aca="1" ref="I80" ca="1">INDIRECT("Dienste!D"&amp;H80)</f>
        <v>Dienst 6</v>
      </c>
      <c r="J80" s="83" t="str">
        <f ca="1"/>
        <v>Dienst 7 Sa oR</v>
      </c>
    </row>
    <row r="81" spans="8:10">
      <c r="H81" s="5">
        <v>82</v>
      </c>
      <c r="I81" s="5" t="str" cm="1">
        <f t="array" aca="1" ref="I81" ca="1">INDIRECT("Dienste!D"&amp;H81)</f>
        <v>Dienst 7</v>
      </c>
      <c r="J81" s="83" t="str">
        <f ca="1"/>
        <v>Dienst 7 Sa mR</v>
      </c>
    </row>
    <row r="82" spans="8:10">
      <c r="H82" s="5">
        <v>83</v>
      </c>
      <c r="I82" s="5" t="str" cm="1">
        <f t="array" aca="1" ref="I82" ca="1">INDIRECT("Dienste!D"&amp;H82)</f>
        <v>Dienst 8</v>
      </c>
      <c r="J82" s="83" t="str">
        <f ca="1"/>
        <v>Dienst 9 Sa</v>
      </c>
    </row>
    <row r="83" spans="8:10">
      <c r="H83" s="5">
        <v>84</v>
      </c>
      <c r="I83" s="5" t="str" cm="1">
        <f t="array" aca="1" ref="I83" ca="1">INDIRECT("Dienste!D"&amp;H83)</f>
        <v>Dienst 9</v>
      </c>
      <c r="J83" s="83" t="str">
        <f ca="1"/>
        <v>Dienst 11 Sa oR</v>
      </c>
    </row>
    <row r="84" spans="8:10">
      <c r="H84" s="5">
        <v>85</v>
      </c>
      <c r="I84" s="5" t="str" cm="1">
        <f t="array" aca="1" ref="I84" ca="1">INDIRECT("Dienste!D"&amp;H84)</f>
        <v>Dienst 10</v>
      </c>
      <c r="J84" s="83" t="str">
        <f ca="1"/>
        <v>Dienst 11 Sa mR</v>
      </c>
    </row>
    <row r="85" spans="8:10">
      <c r="H85" s="5">
        <v>86</v>
      </c>
      <c r="I85" s="5" t="str" cm="1">
        <f t="array" aca="1" ref="I85" ca="1">INDIRECT("Dienste!D"&amp;H85)</f>
        <v>Dienst 11</v>
      </c>
      <c r="J85" s="83" t="str">
        <f ca="1"/>
        <v>Dienst 16 Sa</v>
      </c>
    </row>
    <row r="86" spans="8:10">
      <c r="H86" s="5">
        <v>87</v>
      </c>
      <c r="I86" s="5" t="str" cm="1">
        <f t="array" aca="1" ref="I86" ca="1">INDIRECT("Dienste!D"&amp;H86)</f>
        <v>Dienst 12</v>
      </c>
      <c r="J86" s="83" t="str">
        <f ca="1"/>
        <v>Dienst 20 Sa oR</v>
      </c>
    </row>
    <row r="87" spans="8:10">
      <c r="H87" s="5">
        <v>88</v>
      </c>
      <c r="I87" s="5" t="str" cm="1">
        <f t="array" aca="1" ref="I87" ca="1">INDIRECT("Dienste!D"&amp;H87)</f>
        <v>Dienst 13</v>
      </c>
      <c r="J87" s="83" t="str">
        <f ca="1"/>
        <v>Dienst 20 Sa mR</v>
      </c>
    </row>
    <row r="88" spans="8:10">
      <c r="H88" s="5">
        <v>89</v>
      </c>
      <c r="I88" s="5" t="str" cm="1">
        <f t="array" aca="1" ref="I88" ca="1">INDIRECT("Dienste!D"&amp;H88)</f>
        <v>Dienst 14</v>
      </c>
      <c r="J88" s="83" t="str">
        <f ca="1"/>
        <v>Dienst 24 Sa</v>
      </c>
    </row>
    <row r="89" spans="8:10">
      <c r="H89" s="5">
        <v>90</v>
      </c>
      <c r="I89" s="5" t="str" cm="1">
        <f t="array" aca="1" ref="I89" ca="1">INDIRECT("Dienste!D"&amp;H89)</f>
        <v>Dienst 15</v>
      </c>
      <c r="J89" s="83">
        <f ca="1"/>
        <v>0</v>
      </c>
    </row>
    <row r="90" spans="8:10">
      <c r="H90" s="5">
        <v>91</v>
      </c>
      <c r="I90" s="5" t="str" cm="1">
        <f t="array" aca="1" ref="I90" ca="1">INDIRECT("Dienste!D"&amp;H90)</f>
        <v>Dienst 16</v>
      </c>
      <c r="J90" s="83">
        <f ca="1"/>
        <v>0</v>
      </c>
    </row>
    <row r="91" spans="8:10">
      <c r="H91" s="5">
        <v>92</v>
      </c>
      <c r="I91" s="5" t="str" cm="1">
        <f t="array" aca="1" ref="I91" ca="1">INDIRECT("Dienste!D"&amp;H91)</f>
        <v>Dienst 17</v>
      </c>
    </row>
    <row r="92" spans="8:10">
      <c r="H92" s="5">
        <v>93</v>
      </c>
      <c r="I92" s="5" t="str" cm="1">
        <f t="array" aca="1" ref="I92" ca="1">INDIRECT("Dienste!D"&amp;H92)</f>
        <v>Dienst 18</v>
      </c>
    </row>
    <row r="93" spans="8:10">
      <c r="H93" s="5">
        <v>94</v>
      </c>
      <c r="I93" s="5" t="str" cm="1">
        <f t="array" aca="1" ref="I93" ca="1">INDIRECT("Dienste!D"&amp;H93)</f>
        <v>Dienst 19</v>
      </c>
    </row>
    <row r="94" spans="8:10">
      <c r="H94" s="5">
        <v>95</v>
      </c>
      <c r="I94" s="5" t="str" cm="1">
        <f t="array" aca="1" ref="I94" ca="1">INDIRECT("Dienste!D"&amp;H94)</f>
        <v>Dienst 20</v>
      </c>
    </row>
    <row r="95" spans="8:10">
      <c r="H95" s="5">
        <v>96</v>
      </c>
      <c r="I95" s="5" t="str" cm="1">
        <f t="array" aca="1" ref="I95" ca="1">INDIRECT("Dienste!D"&amp;H95)</f>
        <v>Dienst 21</v>
      </c>
    </row>
    <row r="96" spans="8:10">
      <c r="H96" s="5">
        <v>97</v>
      </c>
      <c r="I96" s="5" t="str" cm="1">
        <f t="array" aca="1" ref="I96" ca="1">INDIRECT("Dienste!D"&amp;H96)</f>
        <v>Dienst 22</v>
      </c>
    </row>
    <row r="97" spans="8:9">
      <c r="H97" s="5">
        <v>98</v>
      </c>
      <c r="I97" s="5" t="str" cm="1">
        <f t="array" aca="1" ref="I97" ca="1">INDIRECT("Dienste!D"&amp;H97)</f>
        <v>Dienst 22 O</v>
      </c>
    </row>
    <row r="98" spans="8:9">
      <c r="H98" s="5">
        <v>99</v>
      </c>
      <c r="I98" s="5" t="str" cm="1">
        <f t="array" aca="1" ref="I98" ca="1">INDIRECT("Dienste!D"&amp;H98)</f>
        <v>Dienst 23</v>
      </c>
    </row>
    <row r="99" spans="8:9">
      <c r="H99" s="5">
        <v>100</v>
      </c>
      <c r="I99" s="5" t="str" cm="1">
        <f t="array" aca="1" ref="I99" ca="1">INDIRECT("Dienste!D"&amp;H99)</f>
        <v>Dienst 24</v>
      </c>
    </row>
    <row r="100" spans="8:9">
      <c r="H100" s="5">
        <v>101</v>
      </c>
      <c r="I100" s="5" t="str" cm="1">
        <f t="array" aca="1" ref="I100" ca="1">INDIRECT("Dienste!D"&amp;H100)</f>
        <v>Dienst 25</v>
      </c>
    </row>
    <row r="101" spans="8:9">
      <c r="H101" s="5">
        <v>102</v>
      </c>
      <c r="I101" s="5" t="str" cm="1">
        <f t="array" aca="1" ref="I101" ca="1">INDIRECT("Dienste!D"&amp;H101)</f>
        <v>Dienst 26 oR</v>
      </c>
    </row>
    <row r="102" spans="8:9">
      <c r="H102" s="5">
        <v>103</v>
      </c>
      <c r="I102" s="5" t="str" cm="1">
        <f t="array" aca="1" ref="I102" ca="1">INDIRECT("Dienste!D"&amp;H102)</f>
        <v>Dienst 26 mR</v>
      </c>
    </row>
    <row r="103" spans="8:9">
      <c r="H103" s="5">
        <v>104</v>
      </c>
      <c r="I103" s="5" t="str" cm="1">
        <f t="array" aca="1" ref="I103" ca="1">INDIRECT("Dienste!D"&amp;H103)</f>
        <v>Dienst 27</v>
      </c>
    </row>
    <row r="104" spans="8:9">
      <c r="H104" s="5">
        <v>105</v>
      </c>
      <c r="I104" s="5" t="str" cm="1">
        <f t="array" aca="1" ref="I104" ca="1">INDIRECT("Dienste!D"&amp;H104)</f>
        <v>Dienst 1 Sa</v>
      </c>
    </row>
    <row r="105" spans="8:9">
      <c r="H105" s="5">
        <v>106</v>
      </c>
      <c r="I105" s="5" t="str" cm="1">
        <f t="array" aca="1" ref="I105" ca="1">INDIRECT("Dienste!D"&amp;H105)</f>
        <v>Dienst 2 Sa</v>
      </c>
    </row>
    <row r="106" spans="8:9">
      <c r="H106" s="5">
        <v>107</v>
      </c>
      <c r="I106" s="5" t="str" cm="1">
        <f t="array" aca="1" ref="I106" ca="1">INDIRECT("Dienste!D"&amp;H106)</f>
        <v>Dienst 3 Sa</v>
      </c>
    </row>
    <row r="107" spans="8:9">
      <c r="H107" s="5">
        <v>108</v>
      </c>
      <c r="I107" s="5" t="str" cm="1">
        <f t="array" aca="1" ref="I107" ca="1">INDIRECT("Dienste!D"&amp;H107)</f>
        <v>Dienst 4 Sa</v>
      </c>
    </row>
    <row r="108" spans="8:9">
      <c r="H108" s="5">
        <v>109</v>
      </c>
      <c r="I108" s="5" t="str" cm="1">
        <f t="array" aca="1" ref="I108" ca="1">INDIRECT("Dienste!D"&amp;H108)</f>
        <v>Dienst 5 Sa</v>
      </c>
    </row>
    <row r="109" spans="8:9">
      <c r="H109" s="5">
        <v>110</v>
      </c>
      <c r="I109" s="5" t="str" cm="1">
        <f t="array" aca="1" ref="I109" ca="1">INDIRECT("Dienste!D"&amp;H109)</f>
        <v>Dienst 6 Sa</v>
      </c>
    </row>
    <row r="110" spans="8:9">
      <c r="H110" s="5">
        <v>111</v>
      </c>
      <c r="I110" s="5" t="str" cm="1">
        <f t="array" aca="1" ref="I110" ca="1">INDIRECT("Dienste!D"&amp;H110)</f>
        <v>Dienst 7 Sa oR</v>
      </c>
    </row>
    <row r="111" spans="8:9">
      <c r="H111" s="5">
        <v>112</v>
      </c>
      <c r="I111" s="5" t="str" cm="1">
        <f t="array" aca="1" ref="I111" ca="1">INDIRECT("Dienste!D"&amp;H111)</f>
        <v>Dienst 7 Sa mR</v>
      </c>
    </row>
    <row r="112" spans="8:9">
      <c r="H112" s="5">
        <v>113</v>
      </c>
      <c r="I112" s="5" t="str" cm="1">
        <f t="array" aca="1" ref="I112" ca="1">INDIRECT("Dienste!D"&amp;H112)</f>
        <v>Dienst 8 Sa</v>
      </c>
    </row>
    <row r="113" spans="8:9">
      <c r="H113" s="5">
        <v>114</v>
      </c>
      <c r="I113" s="5" t="str" cm="1">
        <f t="array" aca="1" ref="I113" ca="1">INDIRECT("Dienste!D"&amp;H113)</f>
        <v>Dienst 9 Sa</v>
      </c>
    </row>
    <row r="114" spans="8:9">
      <c r="H114" s="5">
        <v>115</v>
      </c>
      <c r="I114" s="5" t="str" cm="1">
        <f t="array" aca="1" ref="I114" ca="1">INDIRECT("Dienste!D"&amp;H114)</f>
        <v>Dienst 10 Sa</v>
      </c>
    </row>
    <row r="115" spans="8:9">
      <c r="H115" s="5">
        <v>116</v>
      </c>
      <c r="I115" s="5" t="str" cm="1">
        <f t="array" aca="1" ref="I115" ca="1">INDIRECT("Dienste!D"&amp;H115)</f>
        <v>Dienst 11 Sa oR</v>
      </c>
    </row>
    <row r="116" spans="8:9">
      <c r="H116" s="5">
        <v>117</v>
      </c>
      <c r="I116" s="5" t="str" cm="1">
        <f t="array" aca="1" ref="I116" ca="1">INDIRECT("Dienste!D"&amp;H116)</f>
        <v>Dienst 11 Sa mR</v>
      </c>
    </row>
    <row r="117" spans="8:9">
      <c r="H117" s="5">
        <v>118</v>
      </c>
      <c r="I117" s="5" t="str" cm="1">
        <f t="array" aca="1" ref="I117" ca="1">INDIRECT("Dienste!D"&amp;H117)</f>
        <v>Dienst 12 Sa</v>
      </c>
    </row>
    <row r="118" spans="8:9">
      <c r="H118" s="5">
        <v>119</v>
      </c>
      <c r="I118" s="5" t="str" cm="1">
        <f t="array" aca="1" ref="I118" ca="1">INDIRECT("Dienste!D"&amp;H118)</f>
        <v>Dienst 13 Sa</v>
      </c>
    </row>
    <row r="119" spans="8:9">
      <c r="H119" s="5">
        <v>120</v>
      </c>
      <c r="I119" s="5" t="str" cm="1">
        <f t="array" aca="1" ref="I119" ca="1">INDIRECT("Dienste!D"&amp;H119)</f>
        <v>Dienst 14 Sa</v>
      </c>
    </row>
    <row r="120" spans="8:9">
      <c r="H120" s="5">
        <v>121</v>
      </c>
      <c r="I120" s="5" t="str" cm="1">
        <f t="array" aca="1" ref="I120" ca="1">INDIRECT("Dienste!D"&amp;H120)</f>
        <v>Dienst 15 Sa</v>
      </c>
    </row>
    <row r="121" spans="8:9">
      <c r="H121" s="5">
        <v>122</v>
      </c>
      <c r="I121" s="5" t="str" cm="1">
        <f t="array" aca="1" ref="I121" ca="1">INDIRECT("Dienste!D"&amp;H121)</f>
        <v>Dienst 16 Sa</v>
      </c>
    </row>
    <row r="122" spans="8:9">
      <c r="H122" s="5">
        <v>123</v>
      </c>
      <c r="I122" s="5" t="str" cm="1">
        <f t="array" aca="1" ref="I122" ca="1">INDIRECT("Dienste!D"&amp;H122)</f>
        <v>Dienst 17 Sa</v>
      </c>
    </row>
    <row r="123" spans="8:9">
      <c r="H123" s="5">
        <v>124</v>
      </c>
      <c r="I123" s="5" t="str" cm="1">
        <f t="array" aca="1" ref="I123" ca="1">INDIRECT("Dienste!D"&amp;H123)</f>
        <v>Dienst 18 Sa</v>
      </c>
    </row>
    <row r="124" spans="8:9">
      <c r="H124" s="5">
        <v>125</v>
      </c>
      <c r="I124" s="5" t="str" cm="1">
        <f t="array" aca="1" ref="I124" ca="1">INDIRECT("Dienste!D"&amp;H124)</f>
        <v>Dienst 19 Sa</v>
      </c>
    </row>
    <row r="125" spans="8:9">
      <c r="H125" s="5">
        <v>126</v>
      </c>
      <c r="I125" s="5" t="str" cm="1">
        <f t="array" aca="1" ref="I125" ca="1">INDIRECT("Dienste!D"&amp;H125)</f>
        <v>Dienst 20 Sa oR</v>
      </c>
    </row>
    <row r="126" spans="8:9">
      <c r="H126" s="5">
        <v>127</v>
      </c>
      <c r="I126" s="5" t="str" cm="1">
        <f t="array" aca="1" ref="I126" ca="1">INDIRECT("Dienste!D"&amp;H126)</f>
        <v>Dienst 20 Sa mR</v>
      </c>
    </row>
    <row r="127" spans="8:9">
      <c r="H127" s="5">
        <v>128</v>
      </c>
      <c r="I127" s="5" t="str" cm="1">
        <f t="array" aca="1" ref="I127" ca="1">INDIRECT("Dienste!D"&amp;H127)</f>
        <v>Dienst 21 Sa</v>
      </c>
    </row>
    <row r="128" spans="8:9">
      <c r="H128" s="5">
        <v>129</v>
      </c>
      <c r="I128" s="5" t="str" cm="1">
        <f t="array" aca="1" ref="I128" ca="1">INDIRECT("Dienste!D"&amp;H128)</f>
        <v>Dienst 22 Sa</v>
      </c>
    </row>
    <row r="129" spans="8:9">
      <c r="H129" s="5">
        <v>130</v>
      </c>
      <c r="I129" s="5" t="str" cm="1">
        <f t="array" aca="1" ref="I129" ca="1">INDIRECT("Dienste!D"&amp;H129)</f>
        <v>Dienst 23 Sa oR</v>
      </c>
    </row>
    <row r="130" spans="8:9">
      <c r="H130" s="5">
        <v>131</v>
      </c>
      <c r="I130" s="5" t="str" cm="1">
        <f t="array" aca="1" ref="I130" ca="1">INDIRECT("Dienste!D"&amp;H130)</f>
        <v>Dienst 23 Sa mR</v>
      </c>
    </row>
    <row r="131" spans="8:9">
      <c r="H131" s="5">
        <v>132</v>
      </c>
      <c r="I131" s="5" t="str" cm="1">
        <f t="array" aca="1" ref="I131" ca="1">INDIRECT("Dienste!D"&amp;H131)</f>
        <v>Dienst 24 Sa</v>
      </c>
    </row>
    <row r="132" spans="8:9">
      <c r="H132" s="5">
        <v>133</v>
      </c>
      <c r="I132" s="5" t="str" cm="1">
        <f t="array" aca="1" ref="I132" ca="1">INDIRECT("Dienste!D"&amp;H132)</f>
        <v>Dienst 1 SoF</v>
      </c>
    </row>
    <row r="133" spans="8:9">
      <c r="H133" s="5">
        <v>134</v>
      </c>
      <c r="I133" s="5" t="str" cm="1">
        <f t="array" aca="1" ref="I133" ca="1">INDIRECT("Dienste!D"&amp;H133)</f>
        <v>Dienst 2 SoF</v>
      </c>
    </row>
    <row r="134" spans="8:9">
      <c r="H134" s="5">
        <v>135</v>
      </c>
      <c r="I134" s="5" t="str" cm="1">
        <f t="array" aca="1" ref="I134" ca="1">INDIRECT("Dienste!D"&amp;H134)</f>
        <v>Dienst 3 SoF</v>
      </c>
    </row>
    <row r="135" spans="8:9">
      <c r="H135" s="5">
        <v>136</v>
      </c>
      <c r="I135" s="5" t="str" cm="1">
        <f t="array" aca="1" ref="I135" ca="1">INDIRECT("Dienste!D"&amp;H135)</f>
        <v>Dienst 4 SoF</v>
      </c>
    </row>
    <row r="136" spans="8:9">
      <c r="H136" s="5">
        <v>137</v>
      </c>
      <c r="I136" s="5" t="str" cm="1">
        <f t="array" aca="1" ref="I136" ca="1">INDIRECT("Dienste!D"&amp;H136)</f>
        <v>Dienst 5 SoF</v>
      </c>
    </row>
    <row r="137" spans="8:9">
      <c r="H137" s="5">
        <v>138</v>
      </c>
      <c r="I137" s="5" t="str" cm="1">
        <f t="array" aca="1" ref="I137" ca="1">INDIRECT("Dienste!D"&amp;H137)</f>
        <v>Dienst 6 SoF</v>
      </c>
    </row>
    <row r="138" spans="8:9">
      <c r="H138" s="5">
        <v>139</v>
      </c>
      <c r="I138" s="5" t="str" cm="1">
        <f t="array" aca="1" ref="I138" ca="1">INDIRECT("Dienste!D"&amp;H138)</f>
        <v>Dienst 7 SoF</v>
      </c>
    </row>
    <row r="139" spans="8:9">
      <c r="H139" s="5">
        <v>140</v>
      </c>
      <c r="I139" s="5" t="str" cm="1">
        <f t="array" aca="1" ref="I139" ca="1">INDIRECT("Dienste!D"&amp;H139)</f>
        <v>Dienst 8 SoF</v>
      </c>
    </row>
    <row r="140" spans="8:9">
      <c r="H140" s="5">
        <v>141</v>
      </c>
      <c r="I140" s="5" t="str" cm="1">
        <f t="array" aca="1" ref="I140" ca="1">INDIRECT("Dienste!D"&amp;H140)</f>
        <v>Dienst 9 SoF</v>
      </c>
    </row>
    <row r="141" spans="8:9">
      <c r="H141" s="5">
        <v>142</v>
      </c>
      <c r="I141" s="5" t="str" cm="1">
        <f t="array" aca="1" ref="I141" ca="1">INDIRECT("Dienste!D"&amp;H141)</f>
        <v>Dienst 10 SoF</v>
      </c>
    </row>
    <row r="142" spans="8:9">
      <c r="H142" s="5">
        <v>143</v>
      </c>
      <c r="I142" s="5" cm="1">
        <f t="array" aca="1" ref="I142" ca="1">INDIRECT("Dienste!D"&amp;H142)</f>
        <v>0</v>
      </c>
    </row>
    <row r="143" spans="8:9">
      <c r="H143" s="5">
        <v>144</v>
      </c>
      <c r="I143" s="5" cm="1">
        <f t="array" aca="1" ref="I143" ca="1">INDIRECT("Dienste!D"&amp;H143)</f>
        <v>0</v>
      </c>
    </row>
    <row r="144" spans="8:9">
      <c r="H144" s="5">
        <v>145</v>
      </c>
      <c r="I144" s="5" cm="1">
        <f t="array" aca="1" ref="I144" ca="1">INDIRECT("Dienste!D"&amp;H144)</f>
        <v>0</v>
      </c>
    </row>
    <row r="145" spans="8:9">
      <c r="H145" s="5">
        <v>146</v>
      </c>
      <c r="I145" s="5" cm="1">
        <f t="array" aca="1" ref="I145" ca="1">INDIRECT("Dienste!D"&amp;H145)</f>
        <v>0</v>
      </c>
    </row>
    <row r="146" spans="8:9">
      <c r="H146" s="5">
        <v>147</v>
      </c>
      <c r="I146" s="5" cm="1">
        <f t="array" aca="1" ref="I146" ca="1">INDIRECT("Dienste!D"&amp;H146)</f>
        <v>0</v>
      </c>
    </row>
    <row r="147" spans="8:9">
      <c r="H147" s="5">
        <v>148</v>
      </c>
      <c r="I147" s="5" cm="1">
        <f t="array" aca="1" ref="I147" ca="1">INDIRECT("Dienste!D"&amp;H147)</f>
        <v>0</v>
      </c>
    </row>
    <row r="148" spans="8:9">
      <c r="H148" s="5">
        <v>149</v>
      </c>
      <c r="I148" s="5" cm="1">
        <f t="array" aca="1" ref="I148" ca="1">INDIRECT("Dienste!D"&amp;H148)</f>
        <v>0</v>
      </c>
    </row>
    <row r="149" spans="8:9">
      <c r="H149" s="5">
        <v>150</v>
      </c>
      <c r="I149" s="5" cm="1">
        <f t="array" aca="1" ref="I149" ca="1">INDIRECT("Dienste!D"&amp;H149)</f>
        <v>0</v>
      </c>
    </row>
    <row r="150" spans="8:9">
      <c r="H150" s="5">
        <v>151</v>
      </c>
      <c r="I150" s="5" cm="1">
        <f t="array" aca="1" ref="I150" ca="1">INDIRECT("Dienste!D"&amp;H150)</f>
        <v>0</v>
      </c>
    </row>
    <row r="151" spans="8:9">
      <c r="H151" s="5">
        <v>152</v>
      </c>
      <c r="I151" s="5" cm="1">
        <f t="array" aca="1" ref="I151" ca="1">INDIRECT("Dienste!D"&amp;H151)</f>
        <v>0</v>
      </c>
    </row>
    <row r="152" spans="8:9">
      <c r="H152" s="5">
        <v>153</v>
      </c>
      <c r="I152" s="5" cm="1">
        <f t="array" aca="1" ref="I152" ca="1">INDIRECT("Dienste!D"&amp;H152)</f>
        <v>0</v>
      </c>
    </row>
    <row r="153" spans="8:9">
      <c r="H153" s="5">
        <v>154</v>
      </c>
      <c r="I153" s="5" cm="1">
        <f t="array" aca="1" ref="I153" ca="1">INDIRECT("Dienste!D"&amp;H153)</f>
        <v>0</v>
      </c>
    </row>
    <row r="154" spans="8:9">
      <c r="H154" s="5">
        <v>155</v>
      </c>
      <c r="I154" s="5" cm="1">
        <f t="array" aca="1" ref="I154" ca="1">INDIRECT("Dienste!D"&amp;H154)</f>
        <v>0</v>
      </c>
    </row>
    <row r="155" spans="8:9">
      <c r="H155" s="5">
        <v>156</v>
      </c>
      <c r="I155" s="5" cm="1">
        <f t="array" aca="1" ref="I155" ca="1">INDIRECT("Dienste!D"&amp;H155)</f>
        <v>0</v>
      </c>
    </row>
    <row r="156" spans="8:9">
      <c r="H156" s="5">
        <v>157</v>
      </c>
      <c r="I156" s="5" cm="1">
        <f t="array" aca="1" ref="I156" ca="1">INDIRECT("Dienste!D"&amp;H156)</f>
        <v>0</v>
      </c>
    </row>
    <row r="157" spans="8:9">
      <c r="H157" s="5">
        <v>158</v>
      </c>
      <c r="I157" s="5" cm="1">
        <f t="array" aca="1" ref="I157" ca="1">INDIRECT("Dienste!D"&amp;H157)</f>
        <v>0</v>
      </c>
    </row>
    <row r="158" spans="8:9">
      <c r="H158" s="5">
        <v>159</v>
      </c>
      <c r="I158" s="5" cm="1">
        <f t="array" aca="1" ref="I158" ca="1">INDIRECT("Dienste!D"&amp;H158)</f>
        <v>0</v>
      </c>
    </row>
    <row r="159" spans="8:9">
      <c r="H159" s="5">
        <v>160</v>
      </c>
      <c r="I159" s="5" cm="1">
        <f t="array" aca="1" ref="I159" ca="1">INDIRECT("Dienste!D"&amp;H159)</f>
        <v>0</v>
      </c>
    </row>
    <row r="160" spans="8:9">
      <c r="H160" s="5">
        <v>161</v>
      </c>
      <c r="I160" s="5" cm="1">
        <f t="array" aca="1" ref="I160" ca="1">INDIRECT("Dienste!D"&amp;H160)</f>
        <v>0</v>
      </c>
    </row>
    <row r="161" spans="8:9">
      <c r="H161" s="5">
        <v>162</v>
      </c>
      <c r="I161" s="5" cm="1">
        <f t="array" aca="1" ref="I161" ca="1">INDIRECT("Dienste!D"&amp;H161)</f>
        <v>0</v>
      </c>
    </row>
    <row r="162" spans="8:9">
      <c r="H162" s="5">
        <v>163</v>
      </c>
      <c r="I162" s="5" cm="1">
        <f t="array" aca="1" ref="I162" ca="1">INDIRECT("Dienste!D"&amp;H162)</f>
        <v>0</v>
      </c>
    </row>
    <row r="163" spans="8:9">
      <c r="H163" s="5">
        <v>164</v>
      </c>
      <c r="I163" s="5" cm="1">
        <f t="array" aca="1" ref="I163" ca="1">INDIRECT("Dienste!D"&amp;H163)</f>
        <v>0</v>
      </c>
    </row>
    <row r="164" spans="8:9">
      <c r="H164" s="5">
        <v>165</v>
      </c>
      <c r="I164" s="5" cm="1">
        <f t="array" aca="1" ref="I164" ca="1">INDIRECT("Dienste!D"&amp;H164)</f>
        <v>0</v>
      </c>
    </row>
    <row r="165" spans="8:9">
      <c r="H165" s="5">
        <v>166</v>
      </c>
      <c r="I165" s="5" cm="1">
        <f t="array" aca="1" ref="I165" ca="1">INDIRECT("Dienste!D"&amp;H165)</f>
        <v>0</v>
      </c>
    </row>
    <row r="166" spans="8:9">
      <c r="H166" s="5">
        <v>167</v>
      </c>
      <c r="I166" s="5" cm="1">
        <f t="array" aca="1" ref="I166" ca="1">INDIRECT("Dienste!D"&amp;H166)</f>
        <v>0</v>
      </c>
    </row>
    <row r="167" spans="8:9">
      <c r="H167" s="5">
        <v>168</v>
      </c>
      <c r="I167" s="5" cm="1">
        <f t="array" aca="1" ref="I167" ca="1">INDIRECT("Dienste!D"&amp;H167)</f>
        <v>0</v>
      </c>
    </row>
    <row r="168" spans="8:9">
      <c r="H168" s="5">
        <v>169</v>
      </c>
      <c r="I168" s="5" cm="1">
        <f t="array" aca="1" ref="I168" ca="1">INDIRECT("Dienste!D"&amp;H168)</f>
        <v>0</v>
      </c>
    </row>
    <row r="169" spans="8:9">
      <c r="H169" s="5">
        <v>170</v>
      </c>
      <c r="I169" s="5" cm="1">
        <f t="array" aca="1" ref="I169" ca="1">INDIRECT("Dienste!D"&amp;H169)</f>
        <v>0</v>
      </c>
    </row>
    <row r="170" spans="8:9">
      <c r="H170" s="5">
        <v>171</v>
      </c>
      <c r="I170" s="5" cm="1">
        <f t="array" aca="1" ref="I170" ca="1">INDIRECT("Dienste!D"&amp;H170)</f>
        <v>0</v>
      </c>
    </row>
    <row r="171" spans="8:9">
      <c r="H171" s="5">
        <v>172</v>
      </c>
      <c r="I171" s="5" cm="1">
        <f t="array" aca="1" ref="I171" ca="1">INDIRECT("Dienste!D"&amp;H171)</f>
        <v>0</v>
      </c>
    </row>
    <row r="172" spans="8:9">
      <c r="H172" s="5">
        <v>173</v>
      </c>
      <c r="I172" s="5" cm="1">
        <f t="array" aca="1" ref="I172" ca="1">INDIRECT("Dienste!D"&amp;H172)</f>
        <v>0</v>
      </c>
    </row>
    <row r="173" spans="8:9">
      <c r="H173" s="5">
        <v>174</v>
      </c>
      <c r="I173" s="5" cm="1">
        <f t="array" aca="1" ref="I173" ca="1">INDIRECT("Dienste!D"&amp;H173)</f>
        <v>0</v>
      </c>
    </row>
    <row r="174" spans="8:9">
      <c r="H174" s="5">
        <v>175</v>
      </c>
      <c r="I174" s="5" cm="1">
        <f t="array" aca="1" ref="I174" ca="1">INDIRECT("Dienste!D"&amp;H174)</f>
        <v>0</v>
      </c>
    </row>
    <row r="175" spans="8:9">
      <c r="H175" s="5">
        <v>176</v>
      </c>
      <c r="I175" s="5" cm="1">
        <f t="array" aca="1" ref="I175" ca="1">INDIRECT("Dienste!D"&amp;H175)</f>
        <v>0</v>
      </c>
    </row>
    <row r="176" spans="8:9">
      <c r="H176" s="5">
        <v>177</v>
      </c>
      <c r="I176" s="5" cm="1">
        <f t="array" aca="1" ref="I176" ca="1">INDIRECT("Dienste!D"&amp;H176)</f>
        <v>0</v>
      </c>
    </row>
    <row r="177" spans="8:9">
      <c r="H177" s="5">
        <v>178</v>
      </c>
      <c r="I177" s="5" cm="1">
        <f t="array" aca="1" ref="I177" ca="1">INDIRECT("Dienste!D"&amp;H177)</f>
        <v>0</v>
      </c>
    </row>
    <row r="178" spans="8:9">
      <c r="H178" s="5">
        <v>179</v>
      </c>
      <c r="I178" s="5" cm="1">
        <f t="array" aca="1" ref="I178" ca="1">INDIRECT("Dienste!D"&amp;H178)</f>
        <v>0</v>
      </c>
    </row>
    <row r="179" spans="8:9">
      <c r="H179" s="5">
        <v>180</v>
      </c>
      <c r="I179" s="5" cm="1">
        <f t="array" aca="1" ref="I179" ca="1">INDIRECT("Dienste!D"&amp;H179)</f>
        <v>0</v>
      </c>
    </row>
    <row r="180" spans="8:9">
      <c r="H180" s="5">
        <v>181</v>
      </c>
      <c r="I180" s="5" cm="1">
        <f t="array" aca="1" ref="I180" ca="1">INDIRECT("Dienste!D"&amp;H180)</f>
        <v>0</v>
      </c>
    </row>
    <row r="181" spans="8:9">
      <c r="H181" s="5">
        <v>182</v>
      </c>
      <c r="I181" s="5" cm="1">
        <f t="array" aca="1" ref="I181" ca="1">INDIRECT("Dienste!D"&amp;H181)</f>
        <v>0</v>
      </c>
    </row>
    <row r="182" spans="8:9">
      <c r="H182" s="5">
        <v>183</v>
      </c>
      <c r="I182" s="5" cm="1">
        <f t="array" aca="1" ref="I182" ca="1">INDIRECT("Dienste!D"&amp;H182)</f>
        <v>0</v>
      </c>
    </row>
    <row r="183" spans="8:9">
      <c r="H183" s="5">
        <v>184</v>
      </c>
      <c r="I183" s="5" cm="1">
        <f t="array" aca="1" ref="I183" ca="1">INDIRECT("Dienste!D"&amp;H183)</f>
        <v>0</v>
      </c>
    </row>
    <row r="184" spans="8:9">
      <c r="H184" s="5">
        <v>185</v>
      </c>
      <c r="I184" s="5" cm="1">
        <f t="array" aca="1" ref="I184" ca="1">INDIRECT("Dienste!D"&amp;H184)</f>
        <v>0</v>
      </c>
    </row>
    <row r="185" spans="8:9">
      <c r="H185" s="5">
        <v>186</v>
      </c>
      <c r="I185" s="5" cm="1">
        <f t="array" aca="1" ref="I185" ca="1">INDIRECT("Dienste!D"&amp;H185)</f>
        <v>0</v>
      </c>
    </row>
    <row r="186" spans="8:9">
      <c r="H186" s="5">
        <v>187</v>
      </c>
      <c r="I186" s="5" cm="1">
        <f t="array" aca="1" ref="I186" ca="1">INDIRECT("Dienste!D"&amp;H186)</f>
        <v>0</v>
      </c>
    </row>
    <row r="187" spans="8:9">
      <c r="H187" s="5">
        <v>188</v>
      </c>
      <c r="I187" s="5" cm="1">
        <f t="array" aca="1" ref="I187" ca="1">INDIRECT("Dienste!D"&amp;H187)</f>
        <v>0</v>
      </c>
    </row>
    <row r="188" spans="8:9">
      <c r="H188" s="5">
        <v>189</v>
      </c>
      <c r="I188" s="5" cm="1">
        <f t="array" aca="1" ref="I188" ca="1">INDIRECT("Dienste!D"&amp;H188)</f>
        <v>0</v>
      </c>
    </row>
    <row r="189" spans="8:9">
      <c r="H189" s="5">
        <v>190</v>
      </c>
      <c r="I189" s="5" cm="1">
        <f t="array" aca="1" ref="I189" ca="1">INDIRECT("Dienste!D"&amp;H189)</f>
        <v>0</v>
      </c>
    </row>
    <row r="190" spans="8:9">
      <c r="H190" s="5">
        <v>191</v>
      </c>
      <c r="I190" s="5" cm="1">
        <f t="array" aca="1" ref="I190" ca="1">INDIRECT("Dienste!D"&amp;H190)</f>
        <v>0</v>
      </c>
    </row>
    <row r="191" spans="8:9">
      <c r="H191" s="5">
        <v>192</v>
      </c>
      <c r="I191" s="5" cm="1">
        <f t="array" aca="1" ref="I191" ca="1">INDIRECT("Dienste!D"&amp;H191)</f>
        <v>0</v>
      </c>
    </row>
    <row r="192" spans="8:9">
      <c r="H192" s="5">
        <v>193</v>
      </c>
      <c r="I192" s="5" cm="1">
        <f t="array" aca="1" ref="I192" ca="1">INDIRECT("Dienste!D"&amp;H192)</f>
        <v>0</v>
      </c>
    </row>
    <row r="193" spans="8:9">
      <c r="H193" s="5">
        <v>194</v>
      </c>
      <c r="I193" s="5" cm="1">
        <f t="array" aca="1" ref="I193" ca="1">INDIRECT("Dienste!D"&amp;H193)</f>
        <v>0</v>
      </c>
    </row>
    <row r="194" spans="8:9">
      <c r="H194" s="5">
        <v>195</v>
      </c>
      <c r="I194" s="5" cm="1">
        <f t="array" aca="1" ref="I194" ca="1">INDIRECT("Dienste!D"&amp;H194)</f>
        <v>0</v>
      </c>
    </row>
    <row r="195" spans="8:9">
      <c r="H195" s="5">
        <v>196</v>
      </c>
      <c r="I195" s="5" cm="1">
        <f t="array" aca="1" ref="I195" ca="1">INDIRECT("Dienste!D"&amp;H195)</f>
        <v>0</v>
      </c>
    </row>
    <row r="196" spans="8:9">
      <c r="H196" s="5">
        <v>197</v>
      </c>
      <c r="I196" s="5" cm="1">
        <f t="array" aca="1" ref="I196" ca="1">INDIRECT("Dienste!D"&amp;H196)</f>
        <v>0</v>
      </c>
    </row>
    <row r="197" spans="8:9">
      <c r="H197" s="5">
        <v>198</v>
      </c>
      <c r="I197" s="5" cm="1">
        <f t="array" aca="1" ref="I197" ca="1">INDIRECT("Dienste!D"&amp;H197)</f>
        <v>0</v>
      </c>
    </row>
    <row r="198" spans="8:9">
      <c r="H198" s="5">
        <v>199</v>
      </c>
      <c r="I198" s="5" cm="1">
        <f t="array" aca="1" ref="I198" ca="1">INDIRECT("Dienste!D"&amp;H198)</f>
        <v>0</v>
      </c>
    </row>
    <row r="199" spans="8:9">
      <c r="H199" s="5">
        <v>200</v>
      </c>
      <c r="I199" s="5" cm="1">
        <f t="array" aca="1" ref="I199" ca="1">INDIRECT("Dienste!D"&amp;H199)</f>
        <v>0</v>
      </c>
    </row>
    <row r="200" spans="8:9">
      <c r="H200" s="5">
        <v>201</v>
      </c>
      <c r="I200" s="5" cm="1">
        <f t="array" aca="1" ref="I200" ca="1">INDIRECT("Dienste!D"&amp;H200)</f>
        <v>0</v>
      </c>
    </row>
    <row r="201" spans="8:9">
      <c r="H201" s="5">
        <v>202</v>
      </c>
      <c r="I201" s="5" cm="1">
        <f t="array" aca="1" ref="I201" ca="1">INDIRECT("Dienste!D"&amp;H201)</f>
        <v>0</v>
      </c>
    </row>
    <row r="202" spans="8:9">
      <c r="H202" s="5">
        <v>203</v>
      </c>
      <c r="I202" s="5" cm="1">
        <f t="array" aca="1" ref="I202" ca="1">INDIRECT("Dienste!D"&amp;H202)</f>
        <v>0</v>
      </c>
    </row>
    <row r="203" spans="8:9">
      <c r="H203" s="5">
        <v>204</v>
      </c>
      <c r="I203" s="5" cm="1">
        <f t="array" aca="1" ref="I203" ca="1">INDIRECT("Dienste!D"&amp;H203)</f>
        <v>0</v>
      </c>
    </row>
    <row r="204" spans="8:9">
      <c r="H204" s="5">
        <v>205</v>
      </c>
      <c r="I204" s="5" cm="1">
        <f t="array" aca="1" ref="I204" ca="1">INDIRECT("Dienste!D"&amp;H204)</f>
        <v>0</v>
      </c>
    </row>
    <row r="205" spans="8:9">
      <c r="H205" s="5">
        <v>206</v>
      </c>
      <c r="I205" s="5" cm="1">
        <f t="array" aca="1" ref="I205" ca="1">INDIRECT("Dienste!D"&amp;H205)</f>
        <v>0</v>
      </c>
    </row>
    <row r="206" spans="8:9">
      <c r="H206" s="5">
        <v>207</v>
      </c>
      <c r="I206" s="5" cm="1">
        <f t="array" aca="1" ref="I206" ca="1">INDIRECT("Dienste!D"&amp;H206)</f>
        <v>0</v>
      </c>
    </row>
    <row r="207" spans="8:9">
      <c r="H207" s="5">
        <v>208</v>
      </c>
      <c r="I207" s="5" cm="1">
        <f t="array" aca="1" ref="I207" ca="1">INDIRECT("Dienste!D"&amp;H207)</f>
        <v>0</v>
      </c>
    </row>
    <row r="208" spans="8:9">
      <c r="H208" s="5">
        <v>209</v>
      </c>
      <c r="I208" s="5" cm="1">
        <f t="array" aca="1" ref="I208" ca="1">INDIRECT("Dienste!D"&amp;H208)</f>
        <v>0</v>
      </c>
    </row>
    <row r="209" spans="8:9">
      <c r="H209" s="5">
        <v>210</v>
      </c>
      <c r="I209" s="5" cm="1">
        <f t="array" aca="1" ref="I209" ca="1">INDIRECT("Dienste!D"&amp;H209)</f>
        <v>0</v>
      </c>
    </row>
    <row r="210" spans="8:9">
      <c r="H210" s="5">
        <v>211</v>
      </c>
      <c r="I210" s="5" cm="1">
        <f t="array" aca="1" ref="I210" ca="1">INDIRECT("Dienste!D"&amp;H210)</f>
        <v>0</v>
      </c>
    </row>
    <row r="211" spans="8:9">
      <c r="H211" s="5">
        <v>212</v>
      </c>
      <c r="I211" s="5" cm="1">
        <f t="array" aca="1" ref="I211" ca="1">INDIRECT("Dienste!D"&amp;H211)</f>
        <v>0</v>
      </c>
    </row>
    <row r="212" spans="8:9">
      <c r="H212" s="5">
        <v>213</v>
      </c>
      <c r="I212" s="5" cm="1">
        <f t="array" aca="1" ref="I212" ca="1">INDIRECT("Dienste!D"&amp;H212)</f>
        <v>0</v>
      </c>
    </row>
    <row r="213" spans="8:9">
      <c r="H213" s="5">
        <v>214</v>
      </c>
      <c r="I213" s="5" cm="1">
        <f t="array" aca="1" ref="I213" ca="1">INDIRECT("Dienste!D"&amp;H213)</f>
        <v>0</v>
      </c>
    </row>
    <row r="214" spans="8:9">
      <c r="H214" s="5">
        <v>215</v>
      </c>
      <c r="I214" s="5" cm="1">
        <f t="array" aca="1" ref="I214" ca="1">INDIRECT("Dienste!D"&amp;H214)</f>
        <v>0</v>
      </c>
    </row>
    <row r="215" spans="8:9">
      <c r="H215" s="5">
        <v>216</v>
      </c>
      <c r="I215" s="5" cm="1">
        <f t="array" aca="1" ref="I215" ca="1">INDIRECT("Dienste!D"&amp;H215)</f>
        <v>0</v>
      </c>
    </row>
    <row r="216" spans="8:9">
      <c r="H216" s="5">
        <v>217</v>
      </c>
      <c r="I216" s="5" cm="1">
        <f t="array" aca="1" ref="I216" ca="1">INDIRECT("Dienste!D"&amp;H216)</f>
        <v>0</v>
      </c>
    </row>
    <row r="217" spans="8:9">
      <c r="H217" s="5">
        <v>218</v>
      </c>
      <c r="I217" s="5" cm="1">
        <f t="array" aca="1" ref="I217" ca="1">INDIRECT("Dienste!D"&amp;H217)</f>
        <v>0</v>
      </c>
    </row>
    <row r="218" spans="8:9">
      <c r="H218" s="5">
        <v>219</v>
      </c>
      <c r="I218" s="5" cm="1">
        <f t="array" aca="1" ref="I218" ca="1">INDIRECT("Dienste!D"&amp;H218)</f>
        <v>0</v>
      </c>
    </row>
    <row r="219" spans="8:9">
      <c r="H219" s="5">
        <v>220</v>
      </c>
      <c r="I219" s="5" cm="1">
        <f t="array" aca="1" ref="I219" ca="1">INDIRECT("Dienste!D"&amp;H219)</f>
        <v>0</v>
      </c>
    </row>
    <row r="220" spans="8:9">
      <c r="H220" s="5">
        <v>221</v>
      </c>
      <c r="I220" s="5" cm="1">
        <f t="array" aca="1" ref="I220" ca="1">INDIRECT("Dienste!D"&amp;H220)</f>
        <v>0</v>
      </c>
    </row>
    <row r="221" spans="8:9">
      <c r="H221" s="5">
        <v>222</v>
      </c>
      <c r="I221" s="5" cm="1">
        <f t="array" aca="1" ref="I221" ca="1">INDIRECT("Dienste!D"&amp;H221)</f>
        <v>0</v>
      </c>
    </row>
    <row r="222" spans="8:9">
      <c r="H222" s="5">
        <v>223</v>
      </c>
      <c r="I222" s="5" cm="1">
        <f t="array" aca="1" ref="I222" ca="1">INDIRECT("Dienste!D"&amp;H222)</f>
        <v>0</v>
      </c>
    </row>
    <row r="223" spans="8:9">
      <c r="H223" s="5">
        <v>224</v>
      </c>
      <c r="I223" s="5" cm="1">
        <f t="array" aca="1" ref="I223" ca="1">INDIRECT("Dienste!D"&amp;H223)</f>
        <v>0</v>
      </c>
    </row>
    <row r="224" spans="8:9">
      <c r="H224" s="5">
        <v>225</v>
      </c>
      <c r="I224" s="5" cm="1">
        <f t="array" aca="1" ref="I224" ca="1">INDIRECT("Dienste!D"&amp;H224)</f>
        <v>0</v>
      </c>
    </row>
    <row r="225" spans="8:9">
      <c r="H225" s="5">
        <v>226</v>
      </c>
      <c r="I225" s="5" cm="1">
        <f t="array" aca="1" ref="I225" ca="1">INDIRECT("Dienste!D"&amp;H225)</f>
        <v>0</v>
      </c>
    </row>
    <row r="226" spans="8:9">
      <c r="H226" s="5">
        <v>227</v>
      </c>
      <c r="I226" s="5" cm="1">
        <f t="array" aca="1" ref="I226" ca="1">INDIRECT("Dienste!D"&amp;H226)</f>
        <v>0</v>
      </c>
    </row>
    <row r="227" spans="8:9">
      <c r="H227" s="5">
        <v>228</v>
      </c>
      <c r="I227" s="5" cm="1">
        <f t="array" aca="1" ref="I227" ca="1">INDIRECT("Dienste!D"&amp;H227)</f>
        <v>0</v>
      </c>
    </row>
    <row r="228" spans="8:9">
      <c r="H228" s="5">
        <v>229</v>
      </c>
      <c r="I228" s="5" cm="1">
        <f t="array" aca="1" ref="I228" ca="1">INDIRECT("Dienste!D"&amp;H228)</f>
        <v>0</v>
      </c>
    </row>
    <row r="229" spans="8:9">
      <c r="H229" s="5">
        <v>230</v>
      </c>
      <c r="I229" s="5" cm="1">
        <f t="array" aca="1" ref="I229" ca="1">INDIRECT("Dienste!D"&amp;H229)</f>
        <v>0</v>
      </c>
    </row>
    <row r="230" spans="8:9">
      <c r="H230" s="5">
        <v>231</v>
      </c>
      <c r="I230" s="5" cm="1">
        <f t="array" aca="1" ref="I230" ca="1">INDIRECT("Dienste!D"&amp;H230)</f>
        <v>0</v>
      </c>
    </row>
    <row r="231" spans="8:9">
      <c r="H231" s="5">
        <v>232</v>
      </c>
      <c r="I231" s="5" cm="1">
        <f t="array" aca="1" ref="I231" ca="1">INDIRECT("Dienste!D"&amp;H231)</f>
        <v>0</v>
      </c>
    </row>
    <row r="232" spans="8:9">
      <c r="H232" s="5">
        <v>233</v>
      </c>
      <c r="I232" s="5" cm="1">
        <f t="array" aca="1" ref="I232" ca="1">INDIRECT("Dienste!D"&amp;H232)</f>
        <v>0</v>
      </c>
    </row>
    <row r="233" spans="8:9">
      <c r="H233" s="5">
        <v>234</v>
      </c>
      <c r="I233" s="5" cm="1">
        <f t="array" aca="1" ref="I233" ca="1">INDIRECT("Dienste!D"&amp;H233)</f>
        <v>0</v>
      </c>
    </row>
    <row r="234" spans="8:9">
      <c r="H234" s="5">
        <v>235</v>
      </c>
      <c r="I234" s="5" cm="1">
        <f t="array" aca="1" ref="I234" ca="1">INDIRECT("Dienste!D"&amp;H234)</f>
        <v>0</v>
      </c>
    </row>
    <row r="235" spans="8:9">
      <c r="H235" s="5">
        <v>236</v>
      </c>
      <c r="I235" s="5" cm="1">
        <f t="array" aca="1" ref="I235" ca="1">INDIRECT("Dienste!D"&amp;H235)</f>
        <v>0</v>
      </c>
    </row>
    <row r="236" spans="8:9">
      <c r="H236" s="5">
        <v>237</v>
      </c>
      <c r="I236" s="5" cm="1">
        <f t="array" aca="1" ref="I236" ca="1">INDIRECT("Dienste!D"&amp;H236)</f>
        <v>0</v>
      </c>
    </row>
    <row r="237" spans="8:9">
      <c r="H237" s="5">
        <v>238</v>
      </c>
      <c r="I237" s="5" cm="1">
        <f t="array" aca="1" ref="I237" ca="1">INDIRECT("Dienste!D"&amp;H237)</f>
        <v>0</v>
      </c>
    </row>
    <row r="238" spans="8:9">
      <c r="H238" s="5">
        <v>239</v>
      </c>
      <c r="I238" s="5" cm="1">
        <f t="array" aca="1" ref="I238" ca="1">INDIRECT("Dienste!D"&amp;H238)</f>
        <v>0</v>
      </c>
    </row>
    <row r="239" spans="8:9">
      <c r="H239" s="5">
        <v>240</v>
      </c>
      <c r="I239" s="5" cm="1">
        <f t="array" aca="1" ref="I239" ca="1">INDIRECT("Dienste!D"&amp;H239)</f>
        <v>0</v>
      </c>
    </row>
    <row r="240" spans="8:9">
      <c r="H240" s="5">
        <v>241</v>
      </c>
      <c r="I240" s="5" cm="1">
        <f t="array" aca="1" ref="I240" ca="1">INDIRECT("Dienste!D"&amp;H240)</f>
        <v>0</v>
      </c>
    </row>
    <row r="241" spans="8:9">
      <c r="H241" s="5">
        <v>242</v>
      </c>
      <c r="I241" s="5" cm="1">
        <f t="array" aca="1" ref="I241" ca="1">INDIRECT("Dienste!D"&amp;H241)</f>
        <v>0</v>
      </c>
    </row>
    <row r="242" spans="8:9">
      <c r="H242" s="5">
        <v>243</v>
      </c>
      <c r="I242" s="5" cm="1">
        <f t="array" aca="1" ref="I242" ca="1">INDIRECT("Dienste!D"&amp;H242)</f>
        <v>0</v>
      </c>
    </row>
    <row r="243" spans="8:9">
      <c r="H243" s="5">
        <v>244</v>
      </c>
      <c r="I243" s="5" cm="1">
        <f t="array" aca="1" ref="I243" ca="1">INDIRECT("Dienste!D"&amp;H243)</f>
        <v>0</v>
      </c>
    </row>
    <row r="244" spans="8:9">
      <c r="H244" s="5">
        <v>245</v>
      </c>
      <c r="I244" s="5" cm="1">
        <f t="array" aca="1" ref="I244" ca="1">INDIRECT("Dienste!D"&amp;H244)</f>
        <v>0</v>
      </c>
    </row>
    <row r="245" spans="8:9">
      <c r="H245" s="5">
        <v>246</v>
      </c>
      <c r="I245" s="5" cm="1">
        <f t="array" aca="1" ref="I245" ca="1">INDIRECT("Dienste!D"&amp;H245)</f>
        <v>0</v>
      </c>
    </row>
    <row r="246" spans="8:9">
      <c r="H246" s="5">
        <v>247</v>
      </c>
      <c r="I246" s="5" cm="1">
        <f t="array" aca="1" ref="I246" ca="1">INDIRECT("Dienste!D"&amp;H246)</f>
        <v>0</v>
      </c>
    </row>
    <row r="247" spans="8:9">
      <c r="H247" s="5">
        <v>248</v>
      </c>
      <c r="I247" s="5" cm="1">
        <f t="array" aca="1" ref="I247" ca="1">INDIRECT("Dienste!D"&amp;H247)</f>
        <v>0</v>
      </c>
    </row>
    <row r="248" spans="8:9">
      <c r="H248" s="5">
        <v>249</v>
      </c>
      <c r="I248" s="5" cm="1">
        <f t="array" aca="1" ref="I248" ca="1">INDIRECT("Dienste!D"&amp;H248)</f>
        <v>0</v>
      </c>
    </row>
    <row r="249" spans="8:9">
      <c r="H249" s="5">
        <v>250</v>
      </c>
      <c r="I249" s="5" cm="1">
        <f t="array" aca="1" ref="I249" ca="1">INDIRECT("Dienste!D"&amp;H249)</f>
        <v>0</v>
      </c>
    </row>
    <row r="250" spans="8:9">
      <c r="H250" s="5">
        <v>251</v>
      </c>
      <c r="I250" s="5" cm="1">
        <f t="array" aca="1" ref="I250" ca="1">INDIRECT("Dienste!D"&amp;H250)</f>
        <v>0</v>
      </c>
    </row>
    <row r="251" spans="8:9">
      <c r="H251" s="5">
        <v>252</v>
      </c>
      <c r="I251" s="5" cm="1">
        <f t="array" aca="1" ref="I251" ca="1">INDIRECT("Dienste!D"&amp;H251)</f>
        <v>0</v>
      </c>
    </row>
    <row r="252" spans="8:9">
      <c r="H252" s="5">
        <v>253</v>
      </c>
      <c r="I252" s="5" cm="1">
        <f t="array" aca="1" ref="I252" ca="1">INDIRECT("Dienste!D"&amp;H252)</f>
        <v>0</v>
      </c>
    </row>
    <row r="253" spans="8:9">
      <c r="H253" s="5">
        <v>254</v>
      </c>
      <c r="I253" s="5" cm="1">
        <f t="array" aca="1" ref="I253" ca="1">INDIRECT("Dienste!D"&amp;H253)</f>
        <v>0</v>
      </c>
    </row>
    <row r="254" spans="8:9">
      <c r="H254" s="5">
        <v>255</v>
      </c>
      <c r="I254" s="5" cm="1">
        <f t="array" aca="1" ref="I254" ca="1">INDIRECT("Dienste!D"&amp;H254)</f>
        <v>0</v>
      </c>
    </row>
    <row r="255" spans="8:9">
      <c r="H255" s="5">
        <v>256</v>
      </c>
      <c r="I255" s="5" cm="1">
        <f t="array" aca="1" ref="I255" ca="1">INDIRECT("Dienste!D"&amp;H255)</f>
        <v>0</v>
      </c>
    </row>
    <row r="256" spans="8:9">
      <c r="H256" s="5">
        <v>257</v>
      </c>
      <c r="I256" s="5" cm="1">
        <f t="array" aca="1" ref="I256" ca="1">INDIRECT("Dienste!D"&amp;H256)</f>
        <v>0</v>
      </c>
    </row>
    <row r="257" spans="8:9">
      <c r="H257" s="5">
        <v>258</v>
      </c>
      <c r="I257" s="5" cm="1">
        <f t="array" aca="1" ref="I257" ca="1">INDIRECT("Dienste!D"&amp;H257)</f>
        <v>0</v>
      </c>
    </row>
    <row r="258" spans="8:9">
      <c r="H258" s="5">
        <v>259</v>
      </c>
      <c r="I258" s="5" cm="1">
        <f t="array" aca="1" ref="I258" ca="1">INDIRECT("Dienste!D"&amp;H258)</f>
        <v>0</v>
      </c>
    </row>
    <row r="259" spans="8:9">
      <c r="H259" s="5">
        <v>260</v>
      </c>
      <c r="I259" s="5" cm="1">
        <f t="array" aca="1" ref="I259" ca="1">INDIRECT("Dienste!D"&amp;H259)</f>
        <v>0</v>
      </c>
    </row>
    <row r="260" spans="8:9">
      <c r="H260" s="5">
        <v>261</v>
      </c>
      <c r="I260" s="5" cm="1">
        <f t="array" aca="1" ref="I260" ca="1">INDIRECT("Dienste!D"&amp;H260)</f>
        <v>0</v>
      </c>
    </row>
    <row r="261" spans="8:9">
      <c r="H261" s="5">
        <v>262</v>
      </c>
      <c r="I261" s="5" cm="1">
        <f t="array" aca="1" ref="I261" ca="1">INDIRECT("Dienste!D"&amp;H261)</f>
        <v>0</v>
      </c>
    </row>
    <row r="262" spans="8:9">
      <c r="H262" s="5">
        <v>263</v>
      </c>
      <c r="I262" s="5" cm="1">
        <f t="array" aca="1" ref="I262" ca="1">INDIRECT("Dienste!D"&amp;H262)</f>
        <v>0</v>
      </c>
    </row>
    <row r="263" spans="8:9">
      <c r="H263" s="5">
        <v>264</v>
      </c>
      <c r="I263" s="5" cm="1">
        <f t="array" aca="1" ref="I263" ca="1">INDIRECT("Dienste!D"&amp;H263)</f>
        <v>0</v>
      </c>
    </row>
    <row r="264" spans="8:9">
      <c r="H264" s="5">
        <v>265</v>
      </c>
      <c r="I264" s="5" cm="1">
        <f t="array" aca="1" ref="I264" ca="1">INDIRECT("Dienste!D"&amp;H264)</f>
        <v>0</v>
      </c>
    </row>
    <row r="265" spans="8:9">
      <c r="H265" s="5">
        <v>266</v>
      </c>
      <c r="I265" s="5" cm="1">
        <f t="array" aca="1" ref="I265" ca="1">INDIRECT("Dienste!D"&amp;H265)</f>
        <v>0</v>
      </c>
    </row>
    <row r="266" spans="8:9">
      <c r="H266" s="5">
        <v>267</v>
      </c>
      <c r="I266" s="5" cm="1">
        <f t="array" aca="1" ref="I266" ca="1">INDIRECT("Dienste!D"&amp;H266)</f>
        <v>0</v>
      </c>
    </row>
    <row r="267" spans="8:9">
      <c r="H267" s="5">
        <v>268</v>
      </c>
      <c r="I267" s="5" cm="1">
        <f t="array" aca="1" ref="I267" ca="1">INDIRECT("Dienste!D"&amp;H267)</f>
        <v>0</v>
      </c>
    </row>
    <row r="268" spans="8:9">
      <c r="H268" s="5">
        <v>269</v>
      </c>
      <c r="I268" s="5" cm="1">
        <f t="array" aca="1" ref="I268" ca="1">INDIRECT("Dienste!D"&amp;H268)</f>
        <v>0</v>
      </c>
    </row>
    <row r="269" spans="8:9">
      <c r="H269" s="5">
        <v>270</v>
      </c>
      <c r="I269" s="5" cm="1">
        <f t="array" aca="1" ref="I269" ca="1">INDIRECT("Dienste!D"&amp;H269)</f>
        <v>0</v>
      </c>
    </row>
    <row r="270" spans="8:9">
      <c r="H270" s="5">
        <v>271</v>
      </c>
      <c r="I270" s="5" cm="1">
        <f t="array" aca="1" ref="I270" ca="1">INDIRECT("Dienste!D"&amp;H270)</f>
        <v>0</v>
      </c>
    </row>
    <row r="271" spans="8:9">
      <c r="H271" s="5">
        <v>272</v>
      </c>
      <c r="I271" s="5" cm="1">
        <f t="array" aca="1" ref="I271" ca="1">INDIRECT("Dienste!D"&amp;H271)</f>
        <v>0</v>
      </c>
    </row>
    <row r="272" spans="8:9">
      <c r="H272" s="5">
        <v>273</v>
      </c>
      <c r="I272" s="5" cm="1">
        <f t="array" aca="1" ref="I272" ca="1">INDIRECT("Dienste!D"&amp;H272)</f>
        <v>0</v>
      </c>
    </row>
    <row r="273" spans="8:9">
      <c r="H273" s="5">
        <v>274</v>
      </c>
      <c r="I273" s="5" cm="1">
        <f t="array" aca="1" ref="I273" ca="1">INDIRECT("Dienste!D"&amp;H273)</f>
        <v>0</v>
      </c>
    </row>
    <row r="274" spans="8:9">
      <c r="H274" s="5">
        <v>275</v>
      </c>
      <c r="I274" s="5" cm="1">
        <f t="array" aca="1" ref="I274" ca="1">INDIRECT("Dienste!D"&amp;H274)</f>
        <v>0</v>
      </c>
    </row>
    <row r="275" spans="8:9">
      <c r="H275" s="5">
        <v>276</v>
      </c>
      <c r="I275" s="5" cm="1">
        <f t="array" aca="1" ref="I275" ca="1">INDIRECT("Dienste!D"&amp;H275)</f>
        <v>0</v>
      </c>
    </row>
    <row r="276" spans="8:9">
      <c r="H276" s="5">
        <v>277</v>
      </c>
      <c r="I276" s="5" cm="1">
        <f t="array" aca="1" ref="I276" ca="1">INDIRECT("Dienste!D"&amp;H276)</f>
        <v>0</v>
      </c>
    </row>
    <row r="277" spans="8:9">
      <c r="H277" s="5">
        <v>278</v>
      </c>
      <c r="I277" s="5" cm="1">
        <f t="array" aca="1" ref="I277" ca="1">INDIRECT("Dienste!D"&amp;H277)</f>
        <v>0</v>
      </c>
    </row>
    <row r="278" spans="8:9">
      <c r="H278" s="5">
        <v>279</v>
      </c>
      <c r="I278" s="5" cm="1">
        <f t="array" aca="1" ref="I278" ca="1">INDIRECT("Dienste!D"&amp;H278)</f>
        <v>0</v>
      </c>
    </row>
    <row r="279" spans="8:9">
      <c r="H279" s="5">
        <v>280</v>
      </c>
      <c r="I279" s="5" cm="1">
        <f t="array" aca="1" ref="I279" ca="1">INDIRECT("Dienste!D"&amp;H279)</f>
        <v>0</v>
      </c>
    </row>
    <row r="280" spans="8:9">
      <c r="H280" s="5">
        <v>281</v>
      </c>
      <c r="I280" s="5" cm="1">
        <f t="array" aca="1" ref="I280" ca="1">INDIRECT("Dienste!D"&amp;H280)</f>
        <v>0</v>
      </c>
    </row>
    <row r="281" spans="8:9">
      <c r="H281" s="5">
        <v>282</v>
      </c>
      <c r="I281" s="5" cm="1">
        <f t="array" aca="1" ref="I281" ca="1">INDIRECT("Dienste!D"&amp;H281)</f>
        <v>0</v>
      </c>
    </row>
    <row r="282" spans="8:9">
      <c r="H282" s="5">
        <v>283</v>
      </c>
      <c r="I282" s="5" cm="1">
        <f t="array" aca="1" ref="I282" ca="1">INDIRECT("Dienste!D"&amp;H282)</f>
        <v>0</v>
      </c>
    </row>
    <row r="283" spans="8:9">
      <c r="H283" s="5">
        <v>284</v>
      </c>
      <c r="I283" s="5" cm="1">
        <f t="array" aca="1" ref="I283" ca="1">INDIRECT("Dienste!D"&amp;H283)</f>
        <v>0</v>
      </c>
    </row>
    <row r="284" spans="8:9">
      <c r="H284" s="5">
        <v>285</v>
      </c>
      <c r="I284" s="5" cm="1">
        <f t="array" aca="1" ref="I284" ca="1">INDIRECT("Dienste!D"&amp;H284)</f>
        <v>0</v>
      </c>
    </row>
    <row r="285" spans="8:9">
      <c r="H285" s="5">
        <v>286</v>
      </c>
      <c r="I285" s="5" cm="1">
        <f t="array" aca="1" ref="I285" ca="1">INDIRECT("Dienste!D"&amp;H285)</f>
        <v>0</v>
      </c>
    </row>
    <row r="286" spans="8:9">
      <c r="H286" s="5">
        <v>287</v>
      </c>
      <c r="I286" s="5" cm="1">
        <f t="array" aca="1" ref="I286" ca="1">INDIRECT("Dienste!D"&amp;H286)</f>
        <v>0</v>
      </c>
    </row>
    <row r="287" spans="8:9">
      <c r="H287" s="5">
        <v>288</v>
      </c>
      <c r="I287" s="5" cm="1">
        <f t="array" aca="1" ref="I287" ca="1">INDIRECT("Dienste!D"&amp;H287)</f>
        <v>0</v>
      </c>
    </row>
    <row r="288" spans="8:9">
      <c r="H288" s="5">
        <v>289</v>
      </c>
      <c r="I288" s="5" cm="1">
        <f t="array" aca="1" ref="I288" ca="1">INDIRECT("Dienste!D"&amp;H288)</f>
        <v>0</v>
      </c>
    </row>
    <row r="289" spans="8:9">
      <c r="H289" s="5">
        <v>290</v>
      </c>
      <c r="I289" s="5" cm="1">
        <f t="array" aca="1" ref="I289" ca="1">INDIRECT("Dienste!D"&amp;H289)</f>
        <v>0</v>
      </c>
    </row>
    <row r="290" spans="8:9">
      <c r="H290" s="5">
        <v>291</v>
      </c>
      <c r="I290" s="5" cm="1">
        <f t="array" aca="1" ref="I290" ca="1">INDIRECT("Dienste!D"&amp;H290)</f>
        <v>0</v>
      </c>
    </row>
    <row r="291" spans="8:9">
      <c r="H291" s="5">
        <v>292</v>
      </c>
      <c r="I291" s="5" cm="1">
        <f t="array" aca="1" ref="I291" ca="1">INDIRECT("Dienste!D"&amp;H291)</f>
        <v>0</v>
      </c>
    </row>
    <row r="292" spans="8:9">
      <c r="H292" s="5">
        <v>293</v>
      </c>
      <c r="I292" s="5" cm="1">
        <f t="array" aca="1" ref="I292" ca="1">INDIRECT("Dienste!D"&amp;H292)</f>
        <v>0</v>
      </c>
    </row>
    <row r="293" spans="8:9">
      <c r="H293" s="5">
        <v>294</v>
      </c>
      <c r="I293" s="5" cm="1">
        <f t="array" aca="1" ref="I293" ca="1">INDIRECT("Dienste!D"&amp;H293)</f>
        <v>0</v>
      </c>
    </row>
    <row r="294" spans="8:9">
      <c r="H294" s="5">
        <v>295</v>
      </c>
      <c r="I294" s="5" cm="1">
        <f t="array" aca="1" ref="I294" ca="1">INDIRECT("Dienste!D"&amp;H294)</f>
        <v>0</v>
      </c>
    </row>
    <row r="295" spans="8:9">
      <c r="H295" s="5">
        <v>296</v>
      </c>
      <c r="I295" s="5" cm="1">
        <f t="array" aca="1" ref="I295" ca="1">INDIRECT("Dienste!D"&amp;H295)</f>
        <v>0</v>
      </c>
    </row>
    <row r="296" spans="8:9">
      <c r="H296" s="5">
        <v>297</v>
      </c>
      <c r="I296" s="5" cm="1">
        <f t="array" aca="1" ref="I296" ca="1">INDIRECT("Dienste!D"&amp;H296)</f>
        <v>0</v>
      </c>
    </row>
    <row r="297" spans="8:9">
      <c r="H297" s="5">
        <v>298</v>
      </c>
      <c r="I297" s="5" cm="1">
        <f t="array" aca="1" ref="I297" ca="1">INDIRECT("Dienste!D"&amp;H297)</f>
        <v>0</v>
      </c>
    </row>
    <row r="298" spans="8:9">
      <c r="H298" s="5">
        <v>299</v>
      </c>
      <c r="I298" s="5" cm="1">
        <f t="array" aca="1" ref="I298" ca="1">INDIRECT("Dienste!D"&amp;H298)</f>
        <v>0</v>
      </c>
    </row>
    <row r="299" spans="8:9">
      <c r="H299" s="5">
        <v>300</v>
      </c>
      <c r="I299" s="5" cm="1">
        <f t="array" aca="1" ref="I299" ca="1">INDIRECT("Dienste!D"&amp;H299)</f>
        <v>0</v>
      </c>
    </row>
    <row r="300" spans="8:9">
      <c r="H300" s="5">
        <v>301</v>
      </c>
      <c r="I300" s="5" cm="1">
        <f t="array" aca="1" ref="I300" ca="1">INDIRECT("Dienste!D"&amp;H300)</f>
        <v>0</v>
      </c>
    </row>
    <row r="301" spans="8:9">
      <c r="H301" s="5">
        <v>302</v>
      </c>
      <c r="I301" s="5" cm="1">
        <f t="array" aca="1" ref="I301" ca="1">INDIRECT("Dienste!D"&amp;H301)</f>
        <v>0</v>
      </c>
    </row>
    <row r="302" spans="8:9">
      <c r="H302" s="5">
        <v>303</v>
      </c>
      <c r="I302" s="5" cm="1">
        <f t="array" aca="1" ref="I302" ca="1">INDIRECT("Dienste!D"&amp;H302)</f>
        <v>0</v>
      </c>
    </row>
    <row r="303" spans="8:9">
      <c r="H303" s="5">
        <v>304</v>
      </c>
      <c r="I303" s="5" cm="1">
        <f t="array" aca="1" ref="I303" ca="1">INDIRECT("Dienste!D"&amp;H303)</f>
        <v>0</v>
      </c>
    </row>
    <row r="304" spans="8:9">
      <c r="H304" s="5">
        <v>305</v>
      </c>
      <c r="I304" s="5" cm="1">
        <f t="array" aca="1" ref="I304" ca="1">INDIRECT("Dienste!D"&amp;H304)</f>
        <v>0</v>
      </c>
    </row>
    <row r="305" spans="8:9">
      <c r="H305" s="5">
        <v>306</v>
      </c>
      <c r="I305" s="5" cm="1">
        <f t="array" aca="1" ref="I305" ca="1">INDIRECT("Dienste!D"&amp;H305)</f>
        <v>0</v>
      </c>
    </row>
    <row r="306" spans="8:9">
      <c r="H306" s="5">
        <v>307</v>
      </c>
      <c r="I306" s="5" cm="1">
        <f t="array" aca="1" ref="I306" ca="1">INDIRECT("Dienste!D"&amp;H306)</f>
        <v>0</v>
      </c>
    </row>
    <row r="307" spans="8:9">
      <c r="H307" s="5">
        <v>308</v>
      </c>
      <c r="I307" s="5" cm="1">
        <f t="array" aca="1" ref="I307" ca="1">INDIRECT("Dienste!D"&amp;H307)</f>
        <v>0</v>
      </c>
    </row>
    <row r="308" spans="8:9">
      <c r="H308" s="5">
        <v>309</v>
      </c>
      <c r="I308" s="5" cm="1">
        <f t="array" aca="1" ref="I308" ca="1">INDIRECT("Dienste!D"&amp;H308)</f>
        <v>0</v>
      </c>
    </row>
    <row r="309" spans="8:9">
      <c r="H309" s="5">
        <v>310</v>
      </c>
      <c r="I309" s="5" cm="1">
        <f t="array" aca="1" ref="I309" ca="1">INDIRECT("Dienste!D"&amp;H309)</f>
        <v>0</v>
      </c>
    </row>
    <row r="310" spans="8:9">
      <c r="H310" s="5">
        <v>311</v>
      </c>
      <c r="I310" s="5" cm="1">
        <f t="array" aca="1" ref="I310" ca="1">INDIRECT("Dienste!D"&amp;H310)</f>
        <v>0</v>
      </c>
    </row>
    <row r="311" spans="8:9">
      <c r="H311" s="5">
        <v>312</v>
      </c>
      <c r="I311" s="5" cm="1">
        <f t="array" aca="1" ref="I311" ca="1">INDIRECT("Dienste!D"&amp;H311)</f>
        <v>0</v>
      </c>
    </row>
    <row r="312" spans="8:9">
      <c r="H312" s="5">
        <v>313</v>
      </c>
      <c r="I312" s="5" cm="1">
        <f t="array" aca="1" ref="I312" ca="1">INDIRECT("Dienste!D"&amp;H312)</f>
        <v>0</v>
      </c>
    </row>
    <row r="313" spans="8:9">
      <c r="H313" s="5">
        <v>314</v>
      </c>
      <c r="I313" s="5" cm="1">
        <f t="array" aca="1" ref="I313" ca="1">INDIRECT("Dienste!D"&amp;H313)</f>
        <v>0</v>
      </c>
    </row>
    <row r="314" spans="8:9">
      <c r="H314" s="5">
        <v>315</v>
      </c>
      <c r="I314" s="5" cm="1">
        <f t="array" aca="1" ref="I314" ca="1">INDIRECT("Dienste!D"&amp;H314)</f>
        <v>0</v>
      </c>
    </row>
    <row r="315" spans="8:9">
      <c r="H315" s="5">
        <v>316</v>
      </c>
      <c r="I315" s="5" cm="1">
        <f t="array" aca="1" ref="I315" ca="1">INDIRECT("Dienste!D"&amp;H315)</f>
        <v>0</v>
      </c>
    </row>
    <row r="316" spans="8:9">
      <c r="H316" s="5">
        <v>317</v>
      </c>
      <c r="I316" s="5" cm="1">
        <f t="array" aca="1" ref="I316" ca="1">INDIRECT("Dienste!D"&amp;H316)</f>
        <v>0</v>
      </c>
    </row>
    <row r="317" spans="8:9">
      <c r="H317" s="5">
        <v>318</v>
      </c>
      <c r="I317" s="5" cm="1">
        <f t="array" aca="1" ref="I317" ca="1">INDIRECT("Dienste!D"&amp;H317)</f>
        <v>0</v>
      </c>
    </row>
    <row r="318" spans="8:9">
      <c r="H318" s="5">
        <v>319</v>
      </c>
      <c r="I318" s="5" cm="1">
        <f t="array" aca="1" ref="I318" ca="1">INDIRECT("Dienste!D"&amp;H318)</f>
        <v>0</v>
      </c>
    </row>
    <row r="319" spans="8:9">
      <c r="H319" s="5">
        <v>320</v>
      </c>
      <c r="I319" s="5" cm="1">
        <f t="array" aca="1" ref="I319" ca="1">INDIRECT("Dienste!D"&amp;H319)</f>
        <v>0</v>
      </c>
    </row>
    <row r="320" spans="8:9">
      <c r="H320" s="5">
        <v>321</v>
      </c>
      <c r="I320" s="5" cm="1">
        <f t="array" aca="1" ref="I320" ca="1">INDIRECT("Dienste!D"&amp;H320)</f>
        <v>0</v>
      </c>
    </row>
    <row r="321" spans="8:9">
      <c r="H321" s="5">
        <v>322</v>
      </c>
      <c r="I321" s="5" cm="1">
        <f t="array" aca="1" ref="I321" ca="1">INDIRECT("Dienste!D"&amp;H321)</f>
        <v>0</v>
      </c>
    </row>
    <row r="322" spans="8:9">
      <c r="H322" s="5">
        <v>323</v>
      </c>
      <c r="I322" s="5" cm="1">
        <f t="array" aca="1" ref="I322" ca="1">INDIRECT("Dienste!D"&amp;H322)</f>
        <v>0</v>
      </c>
    </row>
    <row r="323" spans="8:9">
      <c r="H323" s="5">
        <v>324</v>
      </c>
      <c r="I323" s="5" cm="1">
        <f t="array" aca="1" ref="I323" ca="1">INDIRECT("Dienste!D"&amp;H323)</f>
        <v>0</v>
      </c>
    </row>
    <row r="324" spans="8:9">
      <c r="H324" s="5">
        <v>325</v>
      </c>
      <c r="I324" s="5" cm="1">
        <f t="array" aca="1" ref="I324" ca="1">INDIRECT("Dienste!D"&amp;H324)</f>
        <v>0</v>
      </c>
    </row>
    <row r="325" spans="8:9">
      <c r="H325" s="5">
        <v>326</v>
      </c>
      <c r="I325" s="5" cm="1">
        <f t="array" aca="1" ref="I325" ca="1">INDIRECT("Dienste!D"&amp;H325)</f>
        <v>0</v>
      </c>
    </row>
    <row r="326" spans="8:9">
      <c r="H326" s="5">
        <v>327</v>
      </c>
      <c r="I326" s="5" cm="1">
        <f t="array" aca="1" ref="I326" ca="1">INDIRECT("Dienste!D"&amp;H326)</f>
        <v>0</v>
      </c>
    </row>
    <row r="327" spans="8:9">
      <c r="H327" s="5">
        <v>328</v>
      </c>
      <c r="I327" s="5" cm="1">
        <f t="array" aca="1" ref="I327" ca="1">INDIRECT("Dienste!D"&amp;H327)</f>
        <v>0</v>
      </c>
    </row>
    <row r="328" spans="8:9">
      <c r="H328" s="5">
        <v>329</v>
      </c>
      <c r="I328" s="5" cm="1">
        <f t="array" aca="1" ref="I328" ca="1">INDIRECT("Dienste!D"&amp;H328)</f>
        <v>0</v>
      </c>
    </row>
    <row r="329" spans="8:9">
      <c r="H329" s="5">
        <v>330</v>
      </c>
      <c r="I329" s="5" cm="1">
        <f t="array" aca="1" ref="I329" ca="1">INDIRECT("Dienste!D"&amp;H329)</f>
        <v>0</v>
      </c>
    </row>
    <row r="330" spans="8:9">
      <c r="H330" s="5">
        <v>331</v>
      </c>
      <c r="I330" s="5" cm="1">
        <f t="array" aca="1" ref="I330" ca="1">INDIRECT("Dienste!D"&amp;H330)</f>
        <v>0</v>
      </c>
    </row>
    <row r="331" spans="8:9">
      <c r="H331" s="5">
        <v>332</v>
      </c>
      <c r="I331" s="5" cm="1">
        <f t="array" aca="1" ref="I331" ca="1">INDIRECT("Dienste!D"&amp;H331)</f>
        <v>0</v>
      </c>
    </row>
    <row r="332" spans="8:9">
      <c r="H332" s="5">
        <v>333</v>
      </c>
      <c r="I332" s="5" cm="1">
        <f t="array" aca="1" ref="I332" ca="1">INDIRECT("Dienste!D"&amp;H332)</f>
        <v>0</v>
      </c>
    </row>
    <row r="333" spans="8:9">
      <c r="H333" s="5">
        <v>334</v>
      </c>
      <c r="I333" s="5" cm="1">
        <f t="array" aca="1" ref="I333" ca="1">INDIRECT("Dienste!D"&amp;H333)</f>
        <v>0</v>
      </c>
    </row>
    <row r="334" spans="8:9">
      <c r="H334" s="5">
        <v>335</v>
      </c>
      <c r="I334" s="5" cm="1">
        <f t="array" aca="1" ref="I334" ca="1">INDIRECT("Dienste!D"&amp;H334)</f>
        <v>0</v>
      </c>
    </row>
    <row r="335" spans="8:9">
      <c r="H335" s="5">
        <v>336</v>
      </c>
      <c r="I335" s="5" cm="1">
        <f t="array" aca="1" ref="I335" ca="1">INDIRECT("Dienste!D"&amp;H335)</f>
        <v>0</v>
      </c>
    </row>
    <row r="336" spans="8:9">
      <c r="H336" s="5">
        <v>337</v>
      </c>
      <c r="I336" s="5" cm="1">
        <f t="array" aca="1" ref="I336" ca="1">INDIRECT("Dienste!D"&amp;H336)</f>
        <v>0</v>
      </c>
    </row>
    <row r="337" spans="8:9">
      <c r="H337" s="5">
        <v>338</v>
      </c>
      <c r="I337" s="5" cm="1">
        <f t="array" aca="1" ref="I337" ca="1">INDIRECT("Dienste!D"&amp;H337)</f>
        <v>0</v>
      </c>
    </row>
    <row r="338" spans="8:9">
      <c r="H338" s="5">
        <v>339</v>
      </c>
      <c r="I338" s="5" cm="1">
        <f t="array" aca="1" ref="I338" ca="1">INDIRECT("Dienste!D"&amp;H338)</f>
        <v>0</v>
      </c>
    </row>
    <row r="339" spans="8:9">
      <c r="H339" s="5">
        <v>340</v>
      </c>
      <c r="I339" s="5" cm="1">
        <f t="array" aca="1" ref="I339" ca="1">INDIRECT("Dienste!D"&amp;H339)</f>
        <v>0</v>
      </c>
    </row>
    <row r="340" spans="8:9">
      <c r="H340" s="5">
        <v>341</v>
      </c>
      <c r="I340" s="5" cm="1">
        <f t="array" aca="1" ref="I340" ca="1">INDIRECT("Dienste!D"&amp;H340)</f>
        <v>0</v>
      </c>
    </row>
    <row r="341" spans="8:9">
      <c r="H341" s="5">
        <v>342</v>
      </c>
      <c r="I341" s="5" cm="1">
        <f t="array" aca="1" ref="I341" ca="1">INDIRECT("Dienste!D"&amp;H341)</f>
        <v>0</v>
      </c>
    </row>
    <row r="342" spans="8:9">
      <c r="H342" s="5">
        <v>343</v>
      </c>
      <c r="I342" s="5" cm="1">
        <f t="array" aca="1" ref="I342" ca="1">INDIRECT("Dienste!D"&amp;H342)</f>
        <v>0</v>
      </c>
    </row>
    <row r="343" spans="8:9">
      <c r="H343" s="5">
        <v>344</v>
      </c>
      <c r="I343" s="5" cm="1">
        <f t="array" aca="1" ref="I343" ca="1">INDIRECT("Dienste!D"&amp;H343)</f>
        <v>0</v>
      </c>
    </row>
    <row r="344" spans="8:9">
      <c r="H344" s="5">
        <v>345</v>
      </c>
      <c r="I344" s="5" cm="1">
        <f t="array" aca="1" ref="I344" ca="1">INDIRECT("Dienste!D"&amp;H344)</f>
        <v>0</v>
      </c>
    </row>
    <row r="345" spans="8:9">
      <c r="H345" s="5">
        <v>346</v>
      </c>
      <c r="I345" s="5" cm="1">
        <f t="array" aca="1" ref="I345" ca="1">INDIRECT("Dienste!D"&amp;H345)</f>
        <v>0</v>
      </c>
    </row>
    <row r="346" spans="8:9">
      <c r="H346" s="5">
        <v>347</v>
      </c>
      <c r="I346" s="5" cm="1">
        <f t="array" aca="1" ref="I346" ca="1">INDIRECT("Dienste!D"&amp;H346)</f>
        <v>0</v>
      </c>
    </row>
    <row r="347" spans="8:9">
      <c r="H347" s="5">
        <v>348</v>
      </c>
      <c r="I347" s="5" cm="1">
        <f t="array" aca="1" ref="I347" ca="1">INDIRECT("Dienste!D"&amp;H347)</f>
        <v>0</v>
      </c>
    </row>
    <row r="348" spans="8:9">
      <c r="H348" s="5">
        <v>349</v>
      </c>
      <c r="I348" s="5" cm="1">
        <f t="array" aca="1" ref="I348" ca="1">INDIRECT("Dienste!D"&amp;H348)</f>
        <v>0</v>
      </c>
    </row>
    <row r="349" spans="8:9">
      <c r="H349" s="5">
        <v>350</v>
      </c>
      <c r="I349" s="5" cm="1">
        <f t="array" aca="1" ref="I349" ca="1">INDIRECT("Dienste!D"&amp;H349)</f>
        <v>0</v>
      </c>
    </row>
    <row r="350" spans="8:9">
      <c r="H350" s="5">
        <v>351</v>
      </c>
      <c r="I350" s="5" cm="1">
        <f t="array" aca="1" ref="I350" ca="1">INDIRECT("Dienste!D"&amp;H350)</f>
        <v>0</v>
      </c>
    </row>
    <row r="351" spans="8:9">
      <c r="H351" s="5">
        <v>352</v>
      </c>
      <c r="I351" s="5" cm="1">
        <f t="array" aca="1" ref="I351" ca="1">INDIRECT("Dienste!D"&amp;H351)</f>
        <v>0</v>
      </c>
    </row>
    <row r="352" spans="8:9">
      <c r="H352" s="5">
        <v>353</v>
      </c>
      <c r="I352" s="5" cm="1">
        <f t="array" aca="1" ref="I352" ca="1">INDIRECT("Dienste!D"&amp;H352)</f>
        <v>0</v>
      </c>
    </row>
    <row r="353" spans="8:9">
      <c r="H353" s="5">
        <v>354</v>
      </c>
      <c r="I353" s="5" cm="1">
        <f t="array" aca="1" ref="I353" ca="1">INDIRECT("Dienste!D"&amp;H353)</f>
        <v>0</v>
      </c>
    </row>
    <row r="354" spans="8:9">
      <c r="H354" s="5">
        <v>355</v>
      </c>
      <c r="I354" s="5" cm="1">
        <f t="array" aca="1" ref="I354" ca="1">INDIRECT("Dienste!D"&amp;H354)</f>
        <v>0</v>
      </c>
    </row>
    <row r="355" spans="8:9">
      <c r="H355" s="5">
        <v>356</v>
      </c>
      <c r="I355" s="5" cm="1">
        <f t="array" aca="1" ref="I355" ca="1">INDIRECT("Dienste!D"&amp;H355)</f>
        <v>0</v>
      </c>
    </row>
    <row r="356" spans="8:9">
      <c r="H356" s="5">
        <v>357</v>
      </c>
      <c r="I356" s="5" cm="1">
        <f t="array" aca="1" ref="I356" ca="1">INDIRECT("Dienste!D"&amp;H356)</f>
        <v>0</v>
      </c>
    </row>
    <row r="357" spans="8:9">
      <c r="H357" s="5">
        <v>358</v>
      </c>
      <c r="I357" s="5" cm="1">
        <f t="array" aca="1" ref="I357" ca="1">INDIRECT("Dienste!D"&amp;H357)</f>
        <v>0</v>
      </c>
    </row>
    <row r="358" spans="8:9">
      <c r="H358" s="5">
        <v>359</v>
      </c>
      <c r="I358" s="5" cm="1">
        <f t="array" aca="1" ref="I358" ca="1">INDIRECT("Dienste!D"&amp;H358)</f>
        <v>0</v>
      </c>
    </row>
    <row r="359" spans="8:9">
      <c r="H359" s="5">
        <v>360</v>
      </c>
      <c r="I359" s="5" cm="1">
        <f t="array" aca="1" ref="I359" ca="1">INDIRECT("Dienste!D"&amp;H359)</f>
        <v>0</v>
      </c>
    </row>
    <row r="360" spans="8:9">
      <c r="H360" s="5">
        <v>361</v>
      </c>
      <c r="I360" s="5" cm="1">
        <f t="array" aca="1" ref="I360" ca="1">INDIRECT("Dienste!D"&amp;H360)</f>
        <v>0</v>
      </c>
    </row>
    <row r="361" spans="8:9">
      <c r="H361" s="5">
        <v>362</v>
      </c>
      <c r="I361" s="5" cm="1">
        <f t="array" aca="1" ref="I361" ca="1">INDIRECT("Dienste!D"&amp;H361)</f>
        <v>0</v>
      </c>
    </row>
    <row r="362" spans="8:9">
      <c r="H362" s="5">
        <v>363</v>
      </c>
      <c r="I362" s="5" cm="1">
        <f t="array" aca="1" ref="I362" ca="1">INDIRECT("Dienste!D"&amp;H362)</f>
        <v>0</v>
      </c>
    </row>
    <row r="363" spans="8:9">
      <c r="H363" s="5">
        <v>364</v>
      </c>
      <c r="I363" s="5" cm="1">
        <f t="array" aca="1" ref="I363" ca="1">INDIRECT("Dienste!D"&amp;H363)</f>
        <v>0</v>
      </c>
    </row>
    <row r="364" spans="8:9">
      <c r="H364" s="5">
        <v>365</v>
      </c>
      <c r="I364" s="5" cm="1">
        <f t="array" aca="1" ref="I364" ca="1">INDIRECT("Dienste!D"&amp;H364)</f>
        <v>0</v>
      </c>
    </row>
    <row r="365" spans="8:9">
      <c r="H365" s="5">
        <v>366</v>
      </c>
      <c r="I365" s="5" cm="1">
        <f t="array" aca="1" ref="I365" ca="1">INDIRECT("Dienste!D"&amp;H365)</f>
        <v>0</v>
      </c>
    </row>
    <row r="366" spans="8:9">
      <c r="H366" s="5">
        <v>367</v>
      </c>
      <c r="I366" s="5" cm="1">
        <f t="array" aca="1" ref="I366" ca="1">INDIRECT("Dienste!D"&amp;H366)</f>
        <v>0</v>
      </c>
    </row>
    <row r="367" spans="8:9">
      <c r="H367" s="5">
        <v>368</v>
      </c>
      <c r="I367" s="5" cm="1">
        <f t="array" aca="1" ref="I367" ca="1">INDIRECT("Dienste!D"&amp;H367)</f>
        <v>0</v>
      </c>
    </row>
    <row r="368" spans="8:9">
      <c r="H368" s="5">
        <v>369</v>
      </c>
      <c r="I368" s="5" cm="1">
        <f t="array" aca="1" ref="I368" ca="1">INDIRECT("Dienste!D"&amp;H368)</f>
        <v>0</v>
      </c>
    </row>
    <row r="369" spans="8:9">
      <c r="H369" s="5">
        <v>370</v>
      </c>
      <c r="I369" s="5" cm="1">
        <f t="array" aca="1" ref="I369" ca="1">INDIRECT("Dienste!D"&amp;H369)</f>
        <v>0</v>
      </c>
    </row>
    <row r="370" spans="8:9">
      <c r="H370" s="5">
        <v>371</v>
      </c>
      <c r="I370" s="5" cm="1">
        <f t="array" aca="1" ref="I370" ca="1">INDIRECT("Dienste!D"&amp;H370)</f>
        <v>0</v>
      </c>
    </row>
    <row r="371" spans="8:9">
      <c r="H371" s="5">
        <v>372</v>
      </c>
      <c r="I371" s="5" cm="1">
        <f t="array" aca="1" ref="I371" ca="1">INDIRECT("Dienste!D"&amp;H371)</f>
        <v>0</v>
      </c>
    </row>
    <row r="372" spans="8:9">
      <c r="H372" s="5">
        <v>373</v>
      </c>
      <c r="I372" s="5" cm="1">
        <f t="array" aca="1" ref="I372" ca="1">INDIRECT("Dienste!D"&amp;H372)</f>
        <v>0</v>
      </c>
    </row>
    <row r="373" spans="8:9">
      <c r="H373" s="5">
        <v>374</v>
      </c>
      <c r="I373" s="5" cm="1">
        <f t="array" aca="1" ref="I373" ca="1">INDIRECT("Dienste!D"&amp;H373)</f>
        <v>0</v>
      </c>
    </row>
    <row r="374" spans="8:9">
      <c r="H374" s="5">
        <v>375</v>
      </c>
      <c r="I374" s="5" cm="1">
        <f t="array" aca="1" ref="I374" ca="1">INDIRECT("Dienste!D"&amp;H374)</f>
        <v>0</v>
      </c>
    </row>
    <row r="375" spans="8:9">
      <c r="H375" s="5">
        <v>376</v>
      </c>
      <c r="I375" s="5" cm="1">
        <f t="array" aca="1" ref="I375" ca="1">INDIRECT("Dienste!D"&amp;H375)</f>
        <v>0</v>
      </c>
    </row>
    <row r="376" spans="8:9">
      <c r="H376" s="5">
        <v>377</v>
      </c>
      <c r="I376" s="5" cm="1">
        <f t="array" aca="1" ref="I376" ca="1">INDIRECT("Dienste!D"&amp;H376)</f>
        <v>0</v>
      </c>
    </row>
    <row r="377" spans="8:9">
      <c r="H377" s="5">
        <v>378</v>
      </c>
      <c r="I377" s="5" cm="1">
        <f t="array" aca="1" ref="I377" ca="1">INDIRECT("Dienste!D"&amp;H377)</f>
        <v>0</v>
      </c>
    </row>
    <row r="378" spans="8:9">
      <c r="H378" s="5">
        <v>379</v>
      </c>
      <c r="I378" s="5" cm="1">
        <f t="array" aca="1" ref="I378" ca="1">INDIRECT("Dienste!D"&amp;H378)</f>
        <v>0</v>
      </c>
    </row>
    <row r="379" spans="8:9">
      <c r="H379" s="5">
        <v>380</v>
      </c>
      <c r="I379" s="5" cm="1">
        <f t="array" aca="1" ref="I379" ca="1">INDIRECT("Dienste!D"&amp;H379)</f>
        <v>0</v>
      </c>
    </row>
    <row r="380" spans="8:9">
      <c r="H380" s="5">
        <v>381</v>
      </c>
      <c r="I380" s="5" cm="1">
        <f t="array" aca="1" ref="I380" ca="1">INDIRECT("Dienste!D"&amp;H380)</f>
        <v>0</v>
      </c>
    </row>
    <row r="381" spans="8:9">
      <c r="H381" s="5">
        <v>382</v>
      </c>
      <c r="I381" s="5" cm="1">
        <f t="array" aca="1" ref="I381" ca="1">INDIRECT("Dienste!D"&amp;H381)</f>
        <v>0</v>
      </c>
    </row>
    <row r="382" spans="8:9">
      <c r="H382" s="5">
        <v>383</v>
      </c>
      <c r="I382" s="5" cm="1">
        <f t="array" aca="1" ref="I382" ca="1">INDIRECT("Dienste!D"&amp;H382)</f>
        <v>0</v>
      </c>
    </row>
    <row r="383" spans="8:9">
      <c r="H383" s="5">
        <v>384</v>
      </c>
      <c r="I383" s="5" cm="1">
        <f t="array" aca="1" ref="I383" ca="1">INDIRECT("Dienste!D"&amp;H383)</f>
        <v>0</v>
      </c>
    </row>
    <row r="384" spans="8:9">
      <c r="H384" s="5">
        <v>385</v>
      </c>
      <c r="I384" s="5" cm="1">
        <f t="array" aca="1" ref="I384" ca="1">INDIRECT("Dienste!D"&amp;H384)</f>
        <v>0</v>
      </c>
    </row>
    <row r="385" spans="8:9">
      <c r="H385" s="5">
        <v>386</v>
      </c>
      <c r="I385" s="5" cm="1">
        <f t="array" aca="1" ref="I385" ca="1">INDIRECT("Dienste!D"&amp;H385)</f>
        <v>0</v>
      </c>
    </row>
    <row r="386" spans="8:9">
      <c r="H386" s="5">
        <v>387</v>
      </c>
      <c r="I386" s="5" cm="1">
        <f t="array" aca="1" ref="I386" ca="1">INDIRECT("Dienste!D"&amp;H386)</f>
        <v>0</v>
      </c>
    </row>
    <row r="387" spans="8:9">
      <c r="H387" s="5">
        <v>388</v>
      </c>
      <c r="I387" s="5" cm="1">
        <f t="array" aca="1" ref="I387" ca="1">INDIRECT("Dienste!D"&amp;H387)</f>
        <v>0</v>
      </c>
    </row>
    <row r="388" spans="8:9">
      <c r="H388" s="5">
        <v>389</v>
      </c>
      <c r="I388" s="5" cm="1">
        <f t="array" aca="1" ref="I388" ca="1">INDIRECT("Dienste!D"&amp;H388)</f>
        <v>0</v>
      </c>
    </row>
    <row r="389" spans="8:9">
      <c r="H389" s="5">
        <v>390</v>
      </c>
      <c r="I389" s="5" cm="1">
        <f t="array" aca="1" ref="I389" ca="1">INDIRECT("Dienste!D"&amp;H389)</f>
        <v>0</v>
      </c>
    </row>
    <row r="390" spans="8:9">
      <c r="H390" s="5">
        <v>391</v>
      </c>
      <c r="I390" s="5" cm="1">
        <f t="array" aca="1" ref="I390" ca="1">INDIRECT("Dienste!D"&amp;H390)</f>
        <v>0</v>
      </c>
    </row>
    <row r="391" spans="8:9">
      <c r="H391" s="5">
        <v>392</v>
      </c>
      <c r="I391" s="5" cm="1">
        <f t="array" aca="1" ref="I391" ca="1">INDIRECT("Dienste!D"&amp;H391)</f>
        <v>0</v>
      </c>
    </row>
    <row r="392" spans="8:9">
      <c r="H392" s="5">
        <v>393</v>
      </c>
      <c r="I392" s="5" cm="1">
        <f t="array" aca="1" ref="I392" ca="1">INDIRECT("Dienste!D"&amp;H392)</f>
        <v>0</v>
      </c>
    </row>
    <row r="393" spans="8:9">
      <c r="H393" s="5">
        <v>394</v>
      </c>
      <c r="I393" s="5" cm="1">
        <f t="array" aca="1" ref="I393" ca="1">INDIRECT("Dienste!D"&amp;H393)</f>
        <v>0</v>
      </c>
    </row>
    <row r="394" spans="8:9">
      <c r="H394" s="5">
        <v>395</v>
      </c>
      <c r="I394" s="5" cm="1">
        <f t="array" aca="1" ref="I394" ca="1">INDIRECT("Dienste!D"&amp;H394)</f>
        <v>0</v>
      </c>
    </row>
    <row r="395" spans="8:9">
      <c r="H395" s="5">
        <v>396</v>
      </c>
      <c r="I395" s="5" cm="1">
        <f t="array" aca="1" ref="I395" ca="1">INDIRECT("Dienste!D"&amp;H395)</f>
        <v>0</v>
      </c>
    </row>
    <row r="396" spans="8:9">
      <c r="H396" s="5">
        <v>397</v>
      </c>
      <c r="I396" s="5" cm="1">
        <f t="array" aca="1" ref="I396" ca="1">INDIRECT("Dienste!D"&amp;H396)</f>
        <v>0</v>
      </c>
    </row>
    <row r="397" spans="8:9">
      <c r="H397" s="5">
        <v>398</v>
      </c>
      <c r="I397" s="5" cm="1">
        <f t="array" aca="1" ref="I397" ca="1">INDIRECT("Dienste!D"&amp;H397)</f>
        <v>0</v>
      </c>
    </row>
    <row r="398" spans="8:9">
      <c r="H398" s="5">
        <v>399</v>
      </c>
      <c r="I398" s="5" cm="1">
        <f t="array" aca="1" ref="I398" ca="1">INDIRECT("Dienste!D"&amp;H398)</f>
        <v>0</v>
      </c>
    </row>
    <row r="399" spans="8:9">
      <c r="H399" s="5">
        <v>400</v>
      </c>
      <c r="I399" s="5" cm="1">
        <f t="array" aca="1" ref="I399" ca="1">INDIRECT("Dienste!D"&amp;H399)</f>
        <v>0</v>
      </c>
    </row>
    <row r="400" spans="8:9">
      <c r="H400" s="5">
        <v>401</v>
      </c>
      <c r="I400" s="5" cm="1">
        <f t="array" aca="1" ref="I400" ca="1">INDIRECT("Dienste!D"&amp;H400)</f>
        <v>0</v>
      </c>
    </row>
    <row r="401" spans="8:9">
      <c r="H401" s="5">
        <v>402</v>
      </c>
      <c r="I401" s="5" cm="1">
        <f t="array" aca="1" ref="I401" ca="1">INDIRECT("Dienste!D"&amp;H401)</f>
        <v>0</v>
      </c>
    </row>
    <row r="402" spans="8:9">
      <c r="H402" s="5">
        <v>403</v>
      </c>
      <c r="I402" s="5" cm="1">
        <f t="array" aca="1" ref="I402" ca="1">INDIRECT("Dienste!D"&amp;H402)</f>
        <v>0</v>
      </c>
    </row>
    <row r="403" spans="8:9">
      <c r="H403" s="5">
        <v>404</v>
      </c>
      <c r="I403" s="5" cm="1">
        <f t="array" aca="1" ref="I403" ca="1">INDIRECT("Dienste!D"&amp;H403)</f>
        <v>0</v>
      </c>
    </row>
    <row r="404" spans="8:9">
      <c r="H404" s="5">
        <v>405</v>
      </c>
      <c r="I404" s="5" cm="1">
        <f t="array" aca="1" ref="I404" ca="1">INDIRECT("Dienste!D"&amp;H404)</f>
        <v>0</v>
      </c>
    </row>
    <row r="405" spans="8:9">
      <c r="H405" s="5">
        <v>406</v>
      </c>
      <c r="I405" s="5" cm="1">
        <f t="array" aca="1" ref="I405" ca="1">INDIRECT("Dienste!D"&amp;H405)</f>
        <v>0</v>
      </c>
    </row>
    <row r="406" spans="8:9">
      <c r="H406" s="5">
        <v>407</v>
      </c>
      <c r="I406" s="5" cm="1">
        <f t="array" aca="1" ref="I406" ca="1">INDIRECT("Dienste!D"&amp;H406)</f>
        <v>0</v>
      </c>
    </row>
    <row r="407" spans="8:9">
      <c r="H407" s="5">
        <v>408</v>
      </c>
      <c r="I407" s="5" cm="1">
        <f t="array" aca="1" ref="I407" ca="1">INDIRECT("Dienste!D"&amp;H407)</f>
        <v>0</v>
      </c>
    </row>
    <row r="408" spans="8:9">
      <c r="H408" s="5">
        <v>409</v>
      </c>
      <c r="I408" s="5" cm="1">
        <f t="array" aca="1" ref="I408" ca="1">INDIRECT("Dienste!D"&amp;H408)</f>
        <v>0</v>
      </c>
    </row>
    <row r="409" spans="8:9">
      <c r="H409" s="5">
        <v>410</v>
      </c>
      <c r="I409" s="5" cm="1">
        <f t="array" aca="1" ref="I409" ca="1">INDIRECT("Dienste!D"&amp;H409)</f>
        <v>0</v>
      </c>
    </row>
    <row r="410" spans="8:9">
      <c r="H410" s="5">
        <v>411</v>
      </c>
      <c r="I410" s="5" cm="1">
        <f t="array" aca="1" ref="I410" ca="1">INDIRECT("Dienste!D"&amp;H410)</f>
        <v>0</v>
      </c>
    </row>
    <row r="411" spans="8:9">
      <c r="H411" s="5">
        <v>412</v>
      </c>
      <c r="I411" s="5" cm="1">
        <f t="array" aca="1" ref="I411" ca="1">INDIRECT("Dienste!D"&amp;H411)</f>
        <v>0</v>
      </c>
    </row>
    <row r="412" spans="8:9">
      <c r="H412" s="5">
        <v>413</v>
      </c>
      <c r="I412" s="5" cm="1">
        <f t="array" aca="1" ref="I412" ca="1">INDIRECT("Dienste!D"&amp;H412)</f>
        <v>0</v>
      </c>
    </row>
    <row r="413" spans="8:9">
      <c r="H413" s="5">
        <v>414</v>
      </c>
      <c r="I413" s="5" cm="1">
        <f t="array" aca="1" ref="I413" ca="1">INDIRECT("Dienste!D"&amp;H413)</f>
        <v>0</v>
      </c>
    </row>
    <row r="414" spans="8:9">
      <c r="H414" s="5">
        <v>415</v>
      </c>
      <c r="I414" s="5" cm="1">
        <f t="array" aca="1" ref="I414" ca="1">INDIRECT("Dienste!D"&amp;H414)</f>
        <v>0</v>
      </c>
    </row>
    <row r="415" spans="8:9">
      <c r="H415" s="5">
        <v>416</v>
      </c>
      <c r="I415" s="5" cm="1">
        <f t="array" aca="1" ref="I415" ca="1">INDIRECT("Dienste!D"&amp;H415)</f>
        <v>0</v>
      </c>
    </row>
    <row r="416" spans="8:9">
      <c r="H416" s="5">
        <v>417</v>
      </c>
      <c r="I416" s="5" cm="1">
        <f t="array" aca="1" ref="I416" ca="1">INDIRECT("Dienste!D"&amp;H416)</f>
        <v>0</v>
      </c>
    </row>
    <row r="417" spans="8:9">
      <c r="H417" s="5">
        <v>418</v>
      </c>
      <c r="I417" s="5" cm="1">
        <f t="array" aca="1" ref="I417" ca="1">INDIRECT("Dienste!D"&amp;H417)</f>
        <v>0</v>
      </c>
    </row>
    <row r="418" spans="8:9">
      <c r="H418" s="5">
        <v>419</v>
      </c>
      <c r="I418" s="5" cm="1">
        <f t="array" aca="1" ref="I418" ca="1">INDIRECT("Dienste!D"&amp;H418)</f>
        <v>0</v>
      </c>
    </row>
    <row r="419" spans="8:9">
      <c r="H419" s="5">
        <v>420</v>
      </c>
      <c r="I419" s="5" cm="1">
        <f t="array" aca="1" ref="I419" ca="1">INDIRECT("Dienste!D"&amp;H419)</f>
        <v>0</v>
      </c>
    </row>
    <row r="420" spans="8:9">
      <c r="H420" s="5">
        <v>421</v>
      </c>
      <c r="I420" s="5" cm="1">
        <f t="array" aca="1" ref="I420" ca="1">INDIRECT("Dienste!D"&amp;H420)</f>
        <v>0</v>
      </c>
    </row>
    <row r="421" spans="8:9">
      <c r="H421" s="5">
        <v>422</v>
      </c>
      <c r="I421" s="5" cm="1">
        <f t="array" aca="1" ref="I421" ca="1">INDIRECT("Dienste!D"&amp;H421)</f>
        <v>0</v>
      </c>
    </row>
    <row r="422" spans="8:9">
      <c r="H422" s="5">
        <v>423</v>
      </c>
      <c r="I422" s="5" cm="1">
        <f t="array" aca="1" ref="I422" ca="1">INDIRECT("Dienste!D"&amp;H422)</f>
        <v>0</v>
      </c>
    </row>
    <row r="423" spans="8:9">
      <c r="H423" s="5">
        <v>424</v>
      </c>
      <c r="I423" s="5" cm="1">
        <f t="array" aca="1" ref="I423" ca="1">INDIRECT("Dienste!D"&amp;H423)</f>
        <v>0</v>
      </c>
    </row>
    <row r="424" spans="8:9">
      <c r="H424" s="5">
        <v>425</v>
      </c>
      <c r="I424" s="5" cm="1">
        <f t="array" aca="1" ref="I424" ca="1">INDIRECT("Dienste!D"&amp;H424)</f>
        <v>0</v>
      </c>
    </row>
    <row r="425" spans="8:9">
      <c r="H425" s="5">
        <v>426</v>
      </c>
      <c r="I425" s="5" cm="1">
        <f t="array" aca="1" ref="I425" ca="1">INDIRECT("Dienste!D"&amp;H425)</f>
        <v>0</v>
      </c>
    </row>
    <row r="426" spans="8:9">
      <c r="H426" s="5">
        <v>427</v>
      </c>
      <c r="I426" s="5" cm="1">
        <f t="array" aca="1" ref="I426" ca="1">INDIRECT("Dienste!D"&amp;H426)</f>
        <v>0</v>
      </c>
    </row>
    <row r="427" spans="8:9">
      <c r="H427" s="5">
        <v>428</v>
      </c>
      <c r="I427" s="5" cm="1">
        <f t="array" aca="1" ref="I427" ca="1">INDIRECT("Dienste!D"&amp;H427)</f>
        <v>0</v>
      </c>
    </row>
    <row r="428" spans="8:9">
      <c r="H428" s="5">
        <v>429</v>
      </c>
      <c r="I428" s="5" cm="1">
        <f t="array" aca="1" ref="I428" ca="1">INDIRECT("Dienste!D"&amp;H428)</f>
        <v>0</v>
      </c>
    </row>
    <row r="429" spans="8:9">
      <c r="H429" s="5">
        <v>430</v>
      </c>
      <c r="I429" s="5" cm="1">
        <f t="array" aca="1" ref="I429" ca="1">INDIRECT("Dienste!D"&amp;H429)</f>
        <v>0</v>
      </c>
    </row>
    <row r="430" spans="8:9">
      <c r="H430" s="5">
        <v>431</v>
      </c>
      <c r="I430" s="5" cm="1">
        <f t="array" aca="1" ref="I430" ca="1">INDIRECT("Dienste!D"&amp;H430)</f>
        <v>0</v>
      </c>
    </row>
    <row r="431" spans="8:9">
      <c r="H431" s="5">
        <v>432</v>
      </c>
      <c r="I431" s="5" cm="1">
        <f t="array" aca="1" ref="I431" ca="1">INDIRECT("Dienste!D"&amp;H431)</f>
        <v>0</v>
      </c>
    </row>
    <row r="432" spans="8:9">
      <c r="H432" s="5">
        <v>433</v>
      </c>
      <c r="I432" s="5" cm="1">
        <f t="array" aca="1" ref="I432" ca="1">INDIRECT("Dienste!D"&amp;H432)</f>
        <v>0</v>
      </c>
    </row>
    <row r="433" spans="8:9">
      <c r="H433" s="5">
        <v>434</v>
      </c>
      <c r="I433" s="5" cm="1">
        <f t="array" aca="1" ref="I433" ca="1">INDIRECT("Dienste!D"&amp;H433)</f>
        <v>0</v>
      </c>
    </row>
    <row r="434" spans="8:9">
      <c r="H434" s="5">
        <v>435</v>
      </c>
      <c r="I434" s="5" cm="1">
        <f t="array" aca="1" ref="I434" ca="1">INDIRECT("Dienste!D"&amp;H434)</f>
        <v>0</v>
      </c>
    </row>
    <row r="435" spans="8:9">
      <c r="H435" s="5">
        <v>436</v>
      </c>
      <c r="I435" s="5" cm="1">
        <f t="array" aca="1" ref="I435" ca="1">INDIRECT("Dienste!D"&amp;H435)</f>
        <v>0</v>
      </c>
    </row>
    <row r="436" spans="8:9">
      <c r="H436" s="5">
        <v>437</v>
      </c>
      <c r="I436" s="5" cm="1">
        <f t="array" aca="1" ref="I436" ca="1">INDIRECT("Dienste!D"&amp;H436)</f>
        <v>0</v>
      </c>
    </row>
    <row r="437" spans="8:9">
      <c r="H437" s="5">
        <v>438</v>
      </c>
      <c r="I437" s="5" cm="1">
        <f t="array" aca="1" ref="I437" ca="1">INDIRECT("Dienste!D"&amp;H437)</f>
        <v>0</v>
      </c>
    </row>
    <row r="438" spans="8:9">
      <c r="H438" s="5">
        <v>439</v>
      </c>
      <c r="I438" s="5" cm="1">
        <f t="array" aca="1" ref="I438" ca="1">INDIRECT("Dienste!D"&amp;H438)</f>
        <v>0</v>
      </c>
    </row>
    <row r="439" spans="8:9">
      <c r="H439" s="5">
        <v>440</v>
      </c>
      <c r="I439" s="5" cm="1">
        <f t="array" aca="1" ref="I439" ca="1">INDIRECT("Dienste!D"&amp;H439)</f>
        <v>0</v>
      </c>
    </row>
    <row r="440" spans="8:9">
      <c r="H440" s="5">
        <v>441</v>
      </c>
      <c r="I440" s="5" cm="1">
        <f t="array" aca="1" ref="I440" ca="1">INDIRECT("Dienste!D"&amp;H440)</f>
        <v>0</v>
      </c>
    </row>
    <row r="441" spans="8:9">
      <c r="H441" s="5">
        <v>442</v>
      </c>
      <c r="I441" s="5" cm="1">
        <f t="array" aca="1" ref="I441" ca="1">INDIRECT("Dienste!D"&amp;H441)</f>
        <v>0</v>
      </c>
    </row>
    <row r="442" spans="8:9">
      <c r="H442" s="5">
        <v>443</v>
      </c>
      <c r="I442" s="5" cm="1">
        <f t="array" aca="1" ref="I442" ca="1">INDIRECT("Dienste!D"&amp;H442)</f>
        <v>0</v>
      </c>
    </row>
    <row r="443" spans="8:9">
      <c r="H443" s="5">
        <v>444</v>
      </c>
      <c r="I443" s="5" cm="1">
        <f t="array" aca="1" ref="I443" ca="1">INDIRECT("Dienste!D"&amp;H443)</f>
        <v>0</v>
      </c>
    </row>
    <row r="444" spans="8:9">
      <c r="H444" s="5">
        <v>445</v>
      </c>
      <c r="I444" s="5" cm="1">
        <f t="array" aca="1" ref="I444" ca="1">INDIRECT("Dienste!D"&amp;H444)</f>
        <v>0</v>
      </c>
    </row>
    <row r="445" spans="8:9">
      <c r="H445" s="5">
        <v>446</v>
      </c>
      <c r="I445" s="5" cm="1">
        <f t="array" aca="1" ref="I445" ca="1">INDIRECT("Dienste!D"&amp;H445)</f>
        <v>0</v>
      </c>
    </row>
    <row r="446" spans="8:9">
      <c r="H446" s="5">
        <v>447</v>
      </c>
      <c r="I446" s="5" cm="1">
        <f t="array" aca="1" ref="I446" ca="1">INDIRECT("Dienste!D"&amp;H446)</f>
        <v>0</v>
      </c>
    </row>
    <row r="447" spans="8:9">
      <c r="H447" s="5">
        <v>448</v>
      </c>
      <c r="I447" s="5" cm="1">
        <f t="array" aca="1" ref="I447" ca="1">INDIRECT("Dienste!D"&amp;H447)</f>
        <v>0</v>
      </c>
    </row>
    <row r="448" spans="8:9">
      <c r="H448" s="5">
        <v>449</v>
      </c>
      <c r="I448" s="5" cm="1">
        <f t="array" aca="1" ref="I448" ca="1">INDIRECT("Dienste!D"&amp;H448)</f>
        <v>0</v>
      </c>
    </row>
    <row r="449" spans="8:9">
      <c r="H449" s="5">
        <v>450</v>
      </c>
      <c r="I449" s="5" cm="1">
        <f t="array" aca="1" ref="I449" ca="1">INDIRECT("Dienste!D"&amp;H449)</f>
        <v>0</v>
      </c>
    </row>
    <row r="450" spans="8:9">
      <c r="H450" s="5">
        <v>451</v>
      </c>
      <c r="I450" s="5" cm="1">
        <f t="array" aca="1" ref="I450" ca="1">INDIRECT("Dienste!D"&amp;H450)</f>
        <v>0</v>
      </c>
    </row>
    <row r="451" spans="8:9">
      <c r="H451" s="5">
        <v>452</v>
      </c>
      <c r="I451" s="5" cm="1">
        <f t="array" aca="1" ref="I451" ca="1">INDIRECT("Dienste!D"&amp;H451)</f>
        <v>0</v>
      </c>
    </row>
    <row r="452" spans="8:9">
      <c r="H452" s="5">
        <v>453</v>
      </c>
      <c r="I452" s="5" cm="1">
        <f t="array" aca="1" ref="I452" ca="1">INDIRECT("Dienste!D"&amp;H452)</f>
        <v>0</v>
      </c>
    </row>
    <row r="453" spans="8:9">
      <c r="H453" s="5">
        <v>454</v>
      </c>
      <c r="I453" s="5" cm="1">
        <f t="array" aca="1" ref="I453" ca="1">INDIRECT("Dienste!D"&amp;H453)</f>
        <v>0</v>
      </c>
    </row>
    <row r="454" spans="8:9">
      <c r="H454" s="5">
        <v>455</v>
      </c>
      <c r="I454" s="5" cm="1">
        <f t="array" aca="1" ref="I454" ca="1">INDIRECT("Dienste!D"&amp;H454)</f>
        <v>0</v>
      </c>
    </row>
    <row r="455" spans="8:9">
      <c r="H455" s="5">
        <v>456</v>
      </c>
      <c r="I455" s="5" cm="1">
        <f t="array" aca="1" ref="I455" ca="1">INDIRECT("Dienste!D"&amp;H455)</f>
        <v>0</v>
      </c>
    </row>
    <row r="456" spans="8:9">
      <c r="H456" s="5">
        <v>457</v>
      </c>
      <c r="I456" s="5" cm="1">
        <f t="array" aca="1" ref="I456" ca="1">INDIRECT("Dienste!D"&amp;H456)</f>
        <v>0</v>
      </c>
    </row>
    <row r="457" spans="8:9">
      <c r="H457" s="5">
        <v>458</v>
      </c>
      <c r="I457" s="5" cm="1">
        <f t="array" aca="1" ref="I457" ca="1">INDIRECT("Dienste!D"&amp;H457)</f>
        <v>0</v>
      </c>
    </row>
    <row r="458" spans="8:9">
      <c r="H458" s="5">
        <v>459</v>
      </c>
      <c r="I458" s="5" cm="1">
        <f t="array" aca="1" ref="I458" ca="1">INDIRECT("Dienste!D"&amp;H458)</f>
        <v>0</v>
      </c>
    </row>
    <row r="459" spans="8:9">
      <c r="H459" s="5">
        <v>460</v>
      </c>
      <c r="I459" s="5" cm="1">
        <f t="array" aca="1" ref="I459" ca="1">INDIRECT("Dienste!D"&amp;H459)</f>
        <v>0</v>
      </c>
    </row>
    <row r="460" spans="8:9">
      <c r="H460" s="5">
        <v>461</v>
      </c>
      <c r="I460" s="5" cm="1">
        <f t="array" aca="1" ref="I460" ca="1">INDIRECT("Dienste!D"&amp;H460)</f>
        <v>0</v>
      </c>
    </row>
    <row r="461" spans="8:9">
      <c r="H461" s="5">
        <v>462</v>
      </c>
      <c r="I461" s="5" cm="1">
        <f t="array" aca="1" ref="I461" ca="1">INDIRECT("Dienste!D"&amp;H461)</f>
        <v>0</v>
      </c>
    </row>
    <row r="462" spans="8:9">
      <c r="H462" s="5">
        <v>463</v>
      </c>
      <c r="I462" s="5" cm="1">
        <f t="array" aca="1" ref="I462" ca="1">INDIRECT("Dienste!D"&amp;H462)</f>
        <v>0</v>
      </c>
    </row>
    <row r="463" spans="8:9">
      <c r="H463" s="5">
        <v>464</v>
      </c>
      <c r="I463" s="5" cm="1">
        <f t="array" aca="1" ref="I463" ca="1">INDIRECT("Dienste!D"&amp;H463)</f>
        <v>0</v>
      </c>
    </row>
    <row r="464" spans="8:9">
      <c r="H464" s="5">
        <v>465</v>
      </c>
      <c r="I464" s="5" cm="1">
        <f t="array" aca="1" ref="I464" ca="1">INDIRECT("Dienste!D"&amp;H464)</f>
        <v>0</v>
      </c>
    </row>
    <row r="465" spans="8:9">
      <c r="H465" s="5">
        <v>466</v>
      </c>
      <c r="I465" s="5" cm="1">
        <f t="array" aca="1" ref="I465" ca="1">INDIRECT("Dienste!D"&amp;H465)</f>
        <v>0</v>
      </c>
    </row>
    <row r="466" spans="8:9">
      <c r="H466" s="5">
        <v>467</v>
      </c>
      <c r="I466" s="5" cm="1">
        <f t="array" aca="1" ref="I466" ca="1">INDIRECT("Dienste!D"&amp;H466)</f>
        <v>0</v>
      </c>
    </row>
    <row r="467" spans="8:9">
      <c r="H467" s="5">
        <v>468</v>
      </c>
      <c r="I467" s="5" cm="1">
        <f t="array" aca="1" ref="I467" ca="1">INDIRECT("Dienste!D"&amp;H467)</f>
        <v>0</v>
      </c>
    </row>
    <row r="468" spans="8:9">
      <c r="H468" s="5">
        <v>469</v>
      </c>
      <c r="I468" s="5" cm="1">
        <f t="array" aca="1" ref="I468" ca="1">INDIRECT("Dienste!D"&amp;H468)</f>
        <v>0</v>
      </c>
    </row>
    <row r="469" spans="8:9">
      <c r="H469" s="5">
        <v>470</v>
      </c>
      <c r="I469" s="5" cm="1">
        <f t="array" aca="1" ref="I469" ca="1">INDIRECT("Dienste!D"&amp;H469)</f>
        <v>0</v>
      </c>
    </row>
    <row r="470" spans="8:9">
      <c r="H470" s="5">
        <v>471</v>
      </c>
      <c r="I470" s="5" cm="1">
        <f t="array" aca="1" ref="I470" ca="1">INDIRECT("Dienste!D"&amp;H470)</f>
        <v>0</v>
      </c>
    </row>
    <row r="471" spans="8:9">
      <c r="H471" s="5">
        <v>472</v>
      </c>
      <c r="I471" s="5" cm="1">
        <f t="array" aca="1" ref="I471" ca="1">INDIRECT("Dienste!D"&amp;H471)</f>
        <v>0</v>
      </c>
    </row>
    <row r="472" spans="8:9">
      <c r="H472" s="5">
        <v>473</v>
      </c>
      <c r="I472" s="5" cm="1">
        <f t="array" aca="1" ref="I472" ca="1">INDIRECT("Dienste!D"&amp;H472)</f>
        <v>0</v>
      </c>
    </row>
    <row r="473" spans="8:9">
      <c r="H473" s="5">
        <v>474</v>
      </c>
      <c r="I473" s="5" cm="1">
        <f t="array" aca="1" ref="I473" ca="1">INDIRECT("Dienste!D"&amp;H473)</f>
        <v>0</v>
      </c>
    </row>
    <row r="474" spans="8:9">
      <c r="H474" s="5">
        <v>475</v>
      </c>
      <c r="I474" s="5" cm="1">
        <f t="array" aca="1" ref="I474" ca="1">INDIRECT("Dienste!D"&amp;H474)</f>
        <v>0</v>
      </c>
    </row>
    <row r="475" spans="8:9">
      <c r="H475" s="5">
        <v>476</v>
      </c>
      <c r="I475" s="5" cm="1">
        <f t="array" aca="1" ref="I475" ca="1">INDIRECT("Dienste!D"&amp;H475)</f>
        <v>0</v>
      </c>
    </row>
    <row r="476" spans="8:9">
      <c r="H476" s="5">
        <v>477</v>
      </c>
      <c r="I476" s="5" cm="1">
        <f t="array" aca="1" ref="I476" ca="1">INDIRECT("Dienste!D"&amp;H476)</f>
        <v>0</v>
      </c>
    </row>
    <row r="477" spans="8:9">
      <c r="H477" s="5">
        <v>478</v>
      </c>
      <c r="I477" s="5" cm="1">
        <f t="array" aca="1" ref="I477" ca="1">INDIRECT("Dienste!D"&amp;H477)</f>
        <v>0</v>
      </c>
    </row>
    <row r="478" spans="8:9">
      <c r="H478" s="5">
        <v>479</v>
      </c>
      <c r="I478" s="5" cm="1">
        <f t="array" aca="1" ref="I478" ca="1">INDIRECT("Dienste!D"&amp;H478)</f>
        <v>0</v>
      </c>
    </row>
    <row r="479" spans="8:9">
      <c r="H479" s="5">
        <v>480</v>
      </c>
      <c r="I479" s="5" cm="1">
        <f t="array" aca="1" ref="I479" ca="1">INDIRECT("Dienste!D"&amp;H479)</f>
        <v>0</v>
      </c>
    </row>
    <row r="480" spans="8:9">
      <c r="H480" s="5">
        <v>481</v>
      </c>
      <c r="I480" s="5" cm="1">
        <f t="array" aca="1" ref="I480" ca="1">INDIRECT("Dienste!D"&amp;H480)</f>
        <v>0</v>
      </c>
    </row>
    <row r="481" spans="8:9">
      <c r="H481" s="5">
        <v>482</v>
      </c>
      <c r="I481" s="5" cm="1">
        <f t="array" aca="1" ref="I481" ca="1">INDIRECT("Dienste!D"&amp;H481)</f>
        <v>0</v>
      </c>
    </row>
    <row r="482" spans="8:9">
      <c r="H482" s="5">
        <v>483</v>
      </c>
      <c r="I482" s="5" cm="1">
        <f t="array" aca="1" ref="I482" ca="1">INDIRECT("Dienste!D"&amp;H482)</f>
        <v>0</v>
      </c>
    </row>
    <row r="483" spans="8:9">
      <c r="H483" s="5">
        <v>484</v>
      </c>
      <c r="I483" s="5" cm="1">
        <f t="array" aca="1" ref="I483" ca="1">INDIRECT("Dienste!D"&amp;H483)</f>
        <v>0</v>
      </c>
    </row>
    <row r="484" spans="8:9">
      <c r="H484" s="5">
        <v>485</v>
      </c>
      <c r="I484" s="5" cm="1">
        <f t="array" aca="1" ref="I484" ca="1">INDIRECT("Dienste!D"&amp;H484)</f>
        <v>0</v>
      </c>
    </row>
    <row r="485" spans="8:9">
      <c r="H485" s="5">
        <v>486</v>
      </c>
      <c r="I485" s="5" cm="1">
        <f t="array" aca="1" ref="I485" ca="1">INDIRECT("Dienste!D"&amp;H485)</f>
        <v>0</v>
      </c>
    </row>
    <row r="486" spans="8:9">
      <c r="H486" s="5">
        <v>487</v>
      </c>
      <c r="I486" s="5" cm="1">
        <f t="array" aca="1" ref="I486" ca="1">INDIRECT("Dienste!D"&amp;H486)</f>
        <v>0</v>
      </c>
    </row>
    <row r="487" spans="8:9">
      <c r="H487" s="5">
        <v>488</v>
      </c>
      <c r="I487" s="5" cm="1">
        <f t="array" aca="1" ref="I487" ca="1">INDIRECT("Dienste!D"&amp;H487)</f>
        <v>0</v>
      </c>
    </row>
    <row r="488" spans="8:9">
      <c r="H488" s="5">
        <v>489</v>
      </c>
      <c r="I488" s="5" cm="1">
        <f t="array" aca="1" ref="I488" ca="1">INDIRECT("Dienste!D"&amp;H488)</f>
        <v>0</v>
      </c>
    </row>
    <row r="489" spans="8:9">
      <c r="H489" s="5">
        <v>490</v>
      </c>
      <c r="I489" s="5" cm="1">
        <f t="array" aca="1" ref="I489" ca="1">INDIRECT("Dienste!D"&amp;H489)</f>
        <v>0</v>
      </c>
    </row>
    <row r="490" spans="8:9">
      <c r="H490" s="5">
        <v>491</v>
      </c>
      <c r="I490" s="5" cm="1">
        <f t="array" aca="1" ref="I490" ca="1">INDIRECT("Dienste!D"&amp;H490)</f>
        <v>0</v>
      </c>
    </row>
    <row r="491" spans="8:9">
      <c r="H491" s="5">
        <v>492</v>
      </c>
      <c r="I491" s="5" cm="1">
        <f t="array" aca="1" ref="I491" ca="1">INDIRECT("Dienste!D"&amp;H491)</f>
        <v>0</v>
      </c>
    </row>
    <row r="492" spans="8:9">
      <c r="H492" s="5">
        <v>493</v>
      </c>
      <c r="I492" s="5" cm="1">
        <f t="array" aca="1" ref="I492" ca="1">INDIRECT("Dienste!D"&amp;H492)</f>
        <v>0</v>
      </c>
    </row>
    <row r="493" spans="8:9">
      <c r="H493" s="5">
        <v>494</v>
      </c>
      <c r="I493" s="5" cm="1">
        <f t="array" aca="1" ref="I493" ca="1">INDIRECT("Dienste!D"&amp;H493)</f>
        <v>0</v>
      </c>
    </row>
    <row r="494" spans="8:9">
      <c r="H494" s="5">
        <v>495</v>
      </c>
      <c r="I494" s="5" cm="1">
        <f t="array" aca="1" ref="I494" ca="1">INDIRECT("Dienste!D"&amp;H494)</f>
        <v>0</v>
      </c>
    </row>
    <row r="495" spans="8:9">
      <c r="H495" s="5">
        <v>496</v>
      </c>
      <c r="I495" s="5" cm="1">
        <f t="array" aca="1" ref="I495" ca="1">INDIRECT("Dienste!D"&amp;H495)</f>
        <v>0</v>
      </c>
    </row>
    <row r="496" spans="8:9">
      <c r="H496" s="5">
        <v>497</v>
      </c>
      <c r="I496" s="5" cm="1">
        <f t="array" aca="1" ref="I496" ca="1">INDIRECT("Dienste!D"&amp;H496)</f>
        <v>0</v>
      </c>
    </row>
    <row r="497" spans="8:9">
      <c r="H497" s="5">
        <v>498</v>
      </c>
      <c r="I497" s="5" cm="1">
        <f t="array" aca="1" ref="I497" ca="1">INDIRECT("Dienste!D"&amp;H497)</f>
        <v>0</v>
      </c>
    </row>
    <row r="498" spans="8:9">
      <c r="H498" s="5">
        <v>499</v>
      </c>
      <c r="I498" s="5" cm="1">
        <f t="array" aca="1" ref="I498" ca="1">INDIRECT("Dienste!D"&amp;H498)</f>
        <v>0</v>
      </c>
    </row>
    <row r="499" spans="8:9">
      <c r="H499" s="5">
        <v>500</v>
      </c>
      <c r="I499" s="5" cm="1">
        <f t="array" aca="1" ref="I499" ca="1">INDIRECT("Dienste!D"&amp;H499)</f>
        <v>0</v>
      </c>
    </row>
    <row r="500" spans="8:9">
      <c r="H500" s="5">
        <v>501</v>
      </c>
      <c r="I500" s="5" cm="1">
        <f t="array" aca="1" ref="I500" ca="1">INDIRECT("Dienste!D"&amp;H500)</f>
        <v>0</v>
      </c>
    </row>
    <row r="501" spans="8:9">
      <c r="H501" s="5">
        <v>502</v>
      </c>
      <c r="I501" s="5" cm="1">
        <f t="array" aca="1" ref="I501" ca="1">INDIRECT("Dienste!D"&amp;H501)</f>
        <v>0</v>
      </c>
    </row>
    <row r="502" spans="8:9">
      <c r="H502" s="5">
        <v>503</v>
      </c>
      <c r="I502" s="5" cm="1">
        <f t="array" aca="1" ref="I502" ca="1">INDIRECT("Dienste!D"&amp;H502)</f>
        <v>0</v>
      </c>
    </row>
    <row r="503" spans="8:9">
      <c r="H503" s="5">
        <v>504</v>
      </c>
      <c r="I503" s="5" cm="1">
        <f t="array" aca="1" ref="I503" ca="1">INDIRECT("Dienste!D"&amp;H503)</f>
        <v>0</v>
      </c>
    </row>
    <row r="504" spans="8:9">
      <c r="H504" s="5">
        <v>505</v>
      </c>
      <c r="I504" s="5" cm="1">
        <f t="array" aca="1" ref="I504" ca="1">INDIRECT("Dienste!D"&amp;H504)</f>
        <v>0</v>
      </c>
    </row>
    <row r="505" spans="8:9">
      <c r="H505" s="5">
        <v>506</v>
      </c>
      <c r="I505" s="5" cm="1">
        <f t="array" aca="1" ref="I505" ca="1">INDIRECT("Dienste!D"&amp;H505)</f>
        <v>0</v>
      </c>
    </row>
    <row r="506" spans="8:9">
      <c r="H506" s="5">
        <v>507</v>
      </c>
      <c r="I506" s="5" cm="1">
        <f t="array" aca="1" ref="I506" ca="1">INDIRECT("Dienste!D"&amp;H506)</f>
        <v>0</v>
      </c>
    </row>
    <row r="507" spans="8:9">
      <c r="H507" s="5">
        <v>508</v>
      </c>
      <c r="I507" s="5" cm="1">
        <f t="array" aca="1" ref="I507" ca="1">INDIRECT("Dienste!D"&amp;H507)</f>
        <v>0</v>
      </c>
    </row>
    <row r="508" spans="8:9">
      <c r="H508" s="5">
        <v>509</v>
      </c>
      <c r="I508" s="5" cm="1">
        <f t="array" aca="1" ref="I508" ca="1">INDIRECT("Dienste!D"&amp;H508)</f>
        <v>0</v>
      </c>
    </row>
    <row r="509" spans="8:9">
      <c r="H509" s="5">
        <v>510</v>
      </c>
      <c r="I509" s="5" cm="1">
        <f t="array" aca="1" ref="I509" ca="1">INDIRECT("Dienste!D"&amp;H509)</f>
        <v>0</v>
      </c>
    </row>
    <row r="510" spans="8:9">
      <c r="H510" s="5">
        <v>511</v>
      </c>
      <c r="I510" s="5" cm="1">
        <f t="array" aca="1" ref="I510" ca="1">INDIRECT("Dienste!D"&amp;H510)</f>
        <v>0</v>
      </c>
    </row>
    <row r="511" spans="8:9">
      <c r="H511" s="5">
        <v>512</v>
      </c>
      <c r="I511" s="5" cm="1">
        <f t="array" aca="1" ref="I511" ca="1">INDIRECT("Dienste!D"&amp;H511)</f>
        <v>0</v>
      </c>
    </row>
    <row r="512" spans="8:9">
      <c r="H512" s="5">
        <v>513</v>
      </c>
      <c r="I512" s="5" cm="1">
        <f t="array" aca="1" ref="I512" ca="1">INDIRECT("Dienste!D"&amp;H512)</f>
        <v>0</v>
      </c>
    </row>
    <row r="513" spans="8:9">
      <c r="H513" s="5">
        <v>514</v>
      </c>
      <c r="I513" s="5" cm="1">
        <f t="array" aca="1" ref="I513" ca="1">INDIRECT("Dienste!D"&amp;H513)</f>
        <v>0</v>
      </c>
    </row>
    <row r="514" spans="8:9">
      <c r="H514" s="5">
        <v>515</v>
      </c>
      <c r="I514" s="5" cm="1">
        <f t="array" aca="1" ref="I514" ca="1">INDIRECT("Dienste!D"&amp;H514)</f>
        <v>0</v>
      </c>
    </row>
    <row r="515" spans="8:9">
      <c r="H515" s="5">
        <v>516</v>
      </c>
      <c r="I515" s="5" cm="1">
        <f t="array" aca="1" ref="I515" ca="1">INDIRECT("Dienste!D"&amp;H515)</f>
        <v>0</v>
      </c>
    </row>
    <row r="516" spans="8:9">
      <c r="H516" s="5">
        <v>517</v>
      </c>
      <c r="I516" s="5" cm="1">
        <f t="array" aca="1" ref="I516" ca="1">INDIRECT("Dienste!D"&amp;H516)</f>
        <v>0</v>
      </c>
    </row>
    <row r="517" spans="8:9">
      <c r="H517" s="5">
        <v>518</v>
      </c>
      <c r="I517" s="5" cm="1">
        <f t="array" aca="1" ref="I517" ca="1">INDIRECT("Dienste!D"&amp;H517)</f>
        <v>0</v>
      </c>
    </row>
    <row r="518" spans="8:9">
      <c r="H518" s="5">
        <v>519</v>
      </c>
      <c r="I518" s="5" cm="1">
        <f t="array" aca="1" ref="I518" ca="1">INDIRECT("Dienste!D"&amp;H518)</f>
        <v>0</v>
      </c>
    </row>
    <row r="519" spans="8:9">
      <c r="H519" s="5">
        <v>520</v>
      </c>
      <c r="I519" s="5" cm="1">
        <f t="array" aca="1" ref="I519" ca="1">INDIRECT("Dienste!D"&amp;H519)</f>
        <v>0</v>
      </c>
    </row>
    <row r="520" spans="8:9">
      <c r="H520" s="5">
        <v>521</v>
      </c>
      <c r="I520" s="5" cm="1">
        <f t="array" aca="1" ref="I520" ca="1">INDIRECT("Dienste!D"&amp;H520)</f>
        <v>0</v>
      </c>
    </row>
    <row r="521" spans="8:9">
      <c r="H521" s="5">
        <v>522</v>
      </c>
      <c r="I521" s="5" cm="1">
        <f t="array" aca="1" ref="I521" ca="1">INDIRECT("Dienste!D"&amp;H521)</f>
        <v>0</v>
      </c>
    </row>
    <row r="522" spans="8:9">
      <c r="H522" s="5">
        <v>523</v>
      </c>
      <c r="I522" s="5" cm="1">
        <f t="array" aca="1" ref="I522" ca="1">INDIRECT("Dienste!D"&amp;H522)</f>
        <v>0</v>
      </c>
    </row>
    <row r="523" spans="8:9">
      <c r="H523" s="5">
        <v>524</v>
      </c>
      <c r="I523" s="5" cm="1">
        <f t="array" aca="1" ref="I523" ca="1">INDIRECT("Dienste!D"&amp;H523)</f>
        <v>0</v>
      </c>
    </row>
    <row r="524" spans="8:9">
      <c r="H524" s="5">
        <v>525</v>
      </c>
      <c r="I524" s="5" cm="1">
        <f t="array" aca="1" ref="I524" ca="1">INDIRECT("Dienste!D"&amp;H524)</f>
        <v>0</v>
      </c>
    </row>
    <row r="525" spans="8:9">
      <c r="H525" s="5">
        <v>526</v>
      </c>
      <c r="I525" s="5" cm="1">
        <f t="array" aca="1" ref="I525" ca="1">INDIRECT("Dienste!D"&amp;H525)</f>
        <v>0</v>
      </c>
    </row>
    <row r="526" spans="8:9">
      <c r="H526" s="5">
        <v>527</v>
      </c>
      <c r="I526" s="5" cm="1">
        <f t="array" aca="1" ref="I526" ca="1">INDIRECT("Dienste!D"&amp;H526)</f>
        <v>0</v>
      </c>
    </row>
    <row r="527" spans="8:9">
      <c r="H527" s="5">
        <v>528</v>
      </c>
      <c r="I527" s="5" cm="1">
        <f t="array" aca="1" ref="I527" ca="1">INDIRECT("Dienste!D"&amp;H527)</f>
        <v>0</v>
      </c>
    </row>
    <row r="528" spans="8:9">
      <c r="H528" s="5">
        <v>529</v>
      </c>
      <c r="I528" s="5" cm="1">
        <f t="array" aca="1" ref="I528" ca="1">INDIRECT("Dienste!D"&amp;H528)</f>
        <v>0</v>
      </c>
    </row>
    <row r="529" spans="8:9">
      <c r="H529" s="5">
        <v>530</v>
      </c>
      <c r="I529" s="5" cm="1">
        <f t="array" aca="1" ref="I529" ca="1">INDIRECT("Dienste!D"&amp;H529)</f>
        <v>0</v>
      </c>
    </row>
    <row r="530" spans="8:9">
      <c r="H530" s="5">
        <v>531</v>
      </c>
      <c r="I530" s="5" cm="1">
        <f t="array" aca="1" ref="I530" ca="1">INDIRECT("Dienste!D"&amp;H530)</f>
        <v>0</v>
      </c>
    </row>
    <row r="531" spans="8:9">
      <c r="H531" s="5">
        <v>532</v>
      </c>
      <c r="I531" s="5" cm="1">
        <f t="array" aca="1" ref="I531" ca="1">INDIRECT("Dienste!D"&amp;H531)</f>
        <v>0</v>
      </c>
    </row>
    <row r="532" spans="8:9">
      <c r="H532" s="5">
        <v>533</v>
      </c>
      <c r="I532" s="5" cm="1">
        <f t="array" aca="1" ref="I532" ca="1">INDIRECT("Dienste!D"&amp;H532)</f>
        <v>0</v>
      </c>
    </row>
    <row r="533" spans="8:9">
      <c r="H533" s="5">
        <v>534</v>
      </c>
      <c r="I533" s="5" cm="1">
        <f t="array" aca="1" ref="I533" ca="1">INDIRECT("Dienste!D"&amp;H533)</f>
        <v>0</v>
      </c>
    </row>
    <row r="534" spans="8:9">
      <c r="H534" s="5">
        <v>535</v>
      </c>
      <c r="I534" s="5" cm="1">
        <f t="array" aca="1" ref="I534" ca="1">INDIRECT("Dienste!D"&amp;H534)</f>
        <v>0</v>
      </c>
    </row>
    <row r="535" spans="8:9">
      <c r="H535" s="5">
        <v>536</v>
      </c>
      <c r="I535" s="5" cm="1">
        <f t="array" aca="1" ref="I535" ca="1">INDIRECT("Dienste!D"&amp;H535)</f>
        <v>0</v>
      </c>
    </row>
    <row r="536" spans="8:9">
      <c r="H536" s="5">
        <v>537</v>
      </c>
      <c r="I536" s="5" cm="1">
        <f t="array" aca="1" ref="I536" ca="1">INDIRECT("Dienste!D"&amp;H536)</f>
        <v>0</v>
      </c>
    </row>
    <row r="537" spans="8:9">
      <c r="H537" s="5">
        <v>538</v>
      </c>
      <c r="I537" s="5" cm="1">
        <f t="array" aca="1" ref="I537" ca="1">INDIRECT("Dienste!D"&amp;H537)</f>
        <v>0</v>
      </c>
    </row>
    <row r="538" spans="8:9">
      <c r="H538" s="5">
        <v>539</v>
      </c>
      <c r="I538" s="5" cm="1">
        <f t="array" aca="1" ref="I538" ca="1">INDIRECT("Dienste!D"&amp;H538)</f>
        <v>0</v>
      </c>
    </row>
    <row r="539" spans="8:9">
      <c r="H539" s="5">
        <v>540</v>
      </c>
      <c r="I539" s="5" cm="1">
        <f t="array" aca="1" ref="I539" ca="1">INDIRECT("Dienste!D"&amp;H539)</f>
        <v>0</v>
      </c>
    </row>
    <row r="540" spans="8:9">
      <c r="H540" s="5">
        <v>541</v>
      </c>
      <c r="I540" s="5" cm="1">
        <f t="array" aca="1" ref="I540" ca="1">INDIRECT("Dienste!D"&amp;H540)</f>
        <v>0</v>
      </c>
    </row>
    <row r="541" spans="8:9">
      <c r="H541" s="5">
        <v>542</v>
      </c>
      <c r="I541" s="5" cm="1">
        <f t="array" aca="1" ref="I541" ca="1">INDIRECT("Dienste!D"&amp;H541)</f>
        <v>0</v>
      </c>
    </row>
    <row r="542" spans="8:9">
      <c r="H542" s="5">
        <v>543</v>
      </c>
      <c r="I542" s="5" cm="1">
        <f t="array" aca="1" ref="I542" ca="1">INDIRECT("Dienste!D"&amp;H542)</f>
        <v>0</v>
      </c>
    </row>
    <row r="543" spans="8:9">
      <c r="H543" s="5">
        <v>544</v>
      </c>
      <c r="I543" s="5" cm="1">
        <f t="array" aca="1" ref="I543" ca="1">INDIRECT("Dienste!D"&amp;H543)</f>
        <v>0</v>
      </c>
    </row>
    <row r="544" spans="8:9">
      <c r="H544" s="5">
        <v>545</v>
      </c>
      <c r="I544" s="5" cm="1">
        <f t="array" aca="1" ref="I544" ca="1">INDIRECT("Dienste!D"&amp;H544)</f>
        <v>0</v>
      </c>
    </row>
    <row r="545" spans="8:9">
      <c r="H545" s="5">
        <v>546</v>
      </c>
      <c r="I545" s="5" cm="1">
        <f t="array" aca="1" ref="I545" ca="1">INDIRECT("Dienste!D"&amp;H545)</f>
        <v>0</v>
      </c>
    </row>
    <row r="546" spans="8:9">
      <c r="H546" s="5">
        <v>547</v>
      </c>
      <c r="I546" s="5" cm="1">
        <f t="array" aca="1" ref="I546" ca="1">INDIRECT("Dienste!D"&amp;H546)</f>
        <v>0</v>
      </c>
    </row>
    <row r="547" spans="8:9">
      <c r="H547" s="5">
        <v>548</v>
      </c>
      <c r="I547" s="5" cm="1">
        <f t="array" aca="1" ref="I547" ca="1">INDIRECT("Dienste!D"&amp;H547)</f>
        <v>0</v>
      </c>
    </row>
    <row r="548" spans="8:9">
      <c r="H548" s="5">
        <v>549</v>
      </c>
      <c r="I548" s="5" cm="1">
        <f t="array" aca="1" ref="I548" ca="1">INDIRECT("Dienste!D"&amp;H548)</f>
        <v>0</v>
      </c>
    </row>
    <row r="549" spans="8:9">
      <c r="H549" s="5">
        <v>550</v>
      </c>
      <c r="I549" s="5" cm="1">
        <f t="array" aca="1" ref="I549" ca="1">INDIRECT("Dienste!D"&amp;H549)</f>
        <v>0</v>
      </c>
    </row>
    <row r="550" spans="8:9">
      <c r="H550" s="5">
        <v>551</v>
      </c>
      <c r="I550" s="5" cm="1">
        <f t="array" aca="1" ref="I550" ca="1">INDIRECT("Dienste!D"&amp;H550)</f>
        <v>0</v>
      </c>
    </row>
    <row r="551" spans="8:9">
      <c r="H551" s="5">
        <v>552</v>
      </c>
      <c r="I551" s="5" cm="1">
        <f t="array" aca="1" ref="I551" ca="1">INDIRECT("Dienste!D"&amp;H551)</f>
        <v>0</v>
      </c>
    </row>
    <row r="552" spans="8:9">
      <c r="H552" s="5">
        <v>553</v>
      </c>
      <c r="I552" s="5" cm="1">
        <f t="array" aca="1" ref="I552" ca="1">INDIRECT("Dienste!D"&amp;H552)</f>
        <v>0</v>
      </c>
    </row>
    <row r="553" spans="8:9">
      <c r="H553" s="5">
        <v>554</v>
      </c>
      <c r="I553" s="5" cm="1">
        <f t="array" aca="1" ref="I553" ca="1">INDIRECT("Dienste!D"&amp;H553)</f>
        <v>0</v>
      </c>
    </row>
    <row r="554" spans="8:9">
      <c r="H554" s="5">
        <v>555</v>
      </c>
      <c r="I554" s="5" cm="1">
        <f t="array" aca="1" ref="I554" ca="1">INDIRECT("Dienste!D"&amp;H554)</f>
        <v>0</v>
      </c>
    </row>
    <row r="555" spans="8:9">
      <c r="H555" s="5">
        <v>556</v>
      </c>
      <c r="I555" s="5" cm="1">
        <f t="array" aca="1" ref="I555" ca="1">INDIRECT("Dienste!D"&amp;H555)</f>
        <v>0</v>
      </c>
    </row>
    <row r="556" spans="8:9">
      <c r="H556" s="5">
        <v>557</v>
      </c>
      <c r="I556" s="5" cm="1">
        <f t="array" aca="1" ref="I556" ca="1">INDIRECT("Dienste!D"&amp;H556)</f>
        <v>0</v>
      </c>
    </row>
    <row r="557" spans="8:9">
      <c r="H557" s="5">
        <v>558</v>
      </c>
      <c r="I557" s="5" cm="1">
        <f t="array" aca="1" ref="I557" ca="1">INDIRECT("Dienste!D"&amp;H557)</f>
        <v>0</v>
      </c>
    </row>
    <row r="558" spans="8:9">
      <c r="H558" s="5">
        <v>559</v>
      </c>
      <c r="I558" s="5" cm="1">
        <f t="array" aca="1" ref="I558" ca="1">INDIRECT("Dienste!D"&amp;H558)</f>
        <v>0</v>
      </c>
    </row>
    <row r="559" spans="8:9">
      <c r="H559" s="5">
        <v>560</v>
      </c>
      <c r="I559" s="5" cm="1">
        <f t="array" aca="1" ref="I559" ca="1">INDIRECT("Dienste!D"&amp;H559)</f>
        <v>0</v>
      </c>
    </row>
    <row r="560" spans="8:9">
      <c r="H560" s="5">
        <v>561</v>
      </c>
      <c r="I560" s="5" cm="1">
        <f t="array" aca="1" ref="I560" ca="1">INDIRECT("Dienste!D"&amp;H560)</f>
        <v>0</v>
      </c>
    </row>
    <row r="561" spans="8:9">
      <c r="H561" s="5">
        <v>562</v>
      </c>
      <c r="I561" s="5" cm="1">
        <f t="array" aca="1" ref="I561" ca="1">INDIRECT("Dienste!D"&amp;H561)</f>
        <v>0</v>
      </c>
    </row>
    <row r="562" spans="8:9">
      <c r="H562" s="5">
        <v>563</v>
      </c>
      <c r="I562" s="5" cm="1">
        <f t="array" aca="1" ref="I562" ca="1">INDIRECT("Dienste!D"&amp;H562)</f>
        <v>0</v>
      </c>
    </row>
    <row r="563" spans="8:9">
      <c r="H563" s="5">
        <v>564</v>
      </c>
      <c r="I563" s="5" cm="1">
        <f t="array" aca="1" ref="I563" ca="1">INDIRECT("Dienste!D"&amp;H563)</f>
        <v>0</v>
      </c>
    </row>
    <row r="564" spans="8:9">
      <c r="H564" s="5">
        <v>565</v>
      </c>
      <c r="I564" s="5" cm="1">
        <f t="array" aca="1" ref="I564" ca="1">INDIRECT("Dienste!D"&amp;H564)</f>
        <v>0</v>
      </c>
    </row>
    <row r="565" spans="8:9">
      <c r="H565" s="5">
        <v>566</v>
      </c>
      <c r="I565" s="5" cm="1">
        <f t="array" aca="1" ref="I565" ca="1">INDIRECT("Dienste!D"&amp;H565)</f>
        <v>0</v>
      </c>
    </row>
    <row r="566" spans="8:9">
      <c r="H566" s="5">
        <v>567</v>
      </c>
      <c r="I566" s="5" cm="1">
        <f t="array" aca="1" ref="I566" ca="1">INDIRECT("Dienste!D"&amp;H566)</f>
        <v>0</v>
      </c>
    </row>
    <row r="567" spans="8:9">
      <c r="H567" s="5">
        <v>568</v>
      </c>
      <c r="I567" s="5" cm="1">
        <f t="array" aca="1" ref="I567" ca="1">INDIRECT("Dienste!D"&amp;H567)</f>
        <v>0</v>
      </c>
    </row>
    <row r="568" spans="8:9">
      <c r="H568" s="5">
        <v>569</v>
      </c>
      <c r="I568" s="5" cm="1">
        <f t="array" aca="1" ref="I568" ca="1">INDIRECT("Dienste!D"&amp;H568)</f>
        <v>0</v>
      </c>
    </row>
    <row r="569" spans="8:9">
      <c r="H569" s="5">
        <v>570</v>
      </c>
      <c r="I569" s="5" cm="1">
        <f t="array" aca="1" ref="I569" ca="1">INDIRECT("Dienste!D"&amp;H569)</f>
        <v>0</v>
      </c>
    </row>
    <row r="570" spans="8:9">
      <c r="H570" s="5">
        <v>571</v>
      </c>
      <c r="I570" s="5" cm="1">
        <f t="array" aca="1" ref="I570" ca="1">INDIRECT("Dienste!D"&amp;H570)</f>
        <v>0</v>
      </c>
    </row>
    <row r="571" spans="8:9">
      <c r="H571" s="5">
        <v>572</v>
      </c>
      <c r="I571" s="5" cm="1">
        <f t="array" aca="1" ref="I571" ca="1">INDIRECT("Dienste!D"&amp;H571)</f>
        <v>0</v>
      </c>
    </row>
    <row r="572" spans="8:9">
      <c r="H572" s="5">
        <v>573</v>
      </c>
      <c r="I572" s="5" cm="1">
        <f t="array" aca="1" ref="I572" ca="1">INDIRECT("Dienste!D"&amp;H572)</f>
        <v>0</v>
      </c>
    </row>
    <row r="573" spans="8:9">
      <c r="H573" s="5">
        <v>574</v>
      </c>
      <c r="I573" s="5" cm="1">
        <f t="array" aca="1" ref="I573" ca="1">INDIRECT("Dienste!D"&amp;H573)</f>
        <v>0</v>
      </c>
    </row>
    <row r="574" spans="8:9">
      <c r="H574" s="5">
        <v>575</v>
      </c>
      <c r="I574" s="5" cm="1">
        <f t="array" aca="1" ref="I574" ca="1">INDIRECT("Dienste!D"&amp;H574)</f>
        <v>0</v>
      </c>
    </row>
    <row r="575" spans="8:9">
      <c r="H575" s="5">
        <v>576</v>
      </c>
      <c r="I575" s="5" cm="1">
        <f t="array" aca="1" ref="I575" ca="1">INDIRECT("Dienste!D"&amp;H575)</f>
        <v>0</v>
      </c>
    </row>
    <row r="576" spans="8:9">
      <c r="H576" s="5">
        <v>577</v>
      </c>
      <c r="I576" s="5" cm="1">
        <f t="array" aca="1" ref="I576" ca="1">INDIRECT("Dienste!D"&amp;H576)</f>
        <v>0</v>
      </c>
    </row>
    <row r="577" spans="8:9">
      <c r="H577" s="5">
        <v>578</v>
      </c>
      <c r="I577" s="5" cm="1">
        <f t="array" aca="1" ref="I577" ca="1">INDIRECT("Dienste!D"&amp;H577)</f>
        <v>0</v>
      </c>
    </row>
    <row r="578" spans="8:9">
      <c r="H578" s="5">
        <v>579</v>
      </c>
      <c r="I578" s="5" cm="1">
        <f t="array" aca="1" ref="I578" ca="1">INDIRECT("Dienste!D"&amp;H578)</f>
        <v>0</v>
      </c>
    </row>
    <row r="579" spans="8:9">
      <c r="H579" s="5">
        <v>580</v>
      </c>
      <c r="I579" s="5" cm="1">
        <f t="array" aca="1" ref="I579" ca="1">INDIRECT("Dienste!D"&amp;H579)</f>
        <v>0</v>
      </c>
    </row>
    <row r="580" spans="8:9">
      <c r="H580" s="5">
        <v>581</v>
      </c>
      <c r="I580" s="5" cm="1">
        <f t="array" aca="1" ref="I580" ca="1">INDIRECT("Dienste!D"&amp;H580)</f>
        <v>0</v>
      </c>
    </row>
    <row r="581" spans="8:9">
      <c r="H581" s="5">
        <v>582</v>
      </c>
      <c r="I581" s="5" cm="1">
        <f t="array" aca="1" ref="I581" ca="1">INDIRECT("Dienste!D"&amp;H581)</f>
        <v>0</v>
      </c>
    </row>
    <row r="582" spans="8:9">
      <c r="H582" s="5">
        <v>583</v>
      </c>
      <c r="I582" s="5" cm="1">
        <f t="array" aca="1" ref="I582" ca="1">INDIRECT("Dienste!D"&amp;H582)</f>
        <v>0</v>
      </c>
    </row>
    <row r="583" spans="8:9">
      <c r="H583" s="5">
        <v>584</v>
      </c>
      <c r="I583" s="5" cm="1">
        <f t="array" aca="1" ref="I583" ca="1">INDIRECT("Dienste!D"&amp;H583)</f>
        <v>0</v>
      </c>
    </row>
    <row r="584" spans="8:9">
      <c r="H584" s="5">
        <v>585</v>
      </c>
      <c r="I584" s="5" cm="1">
        <f t="array" aca="1" ref="I584" ca="1">INDIRECT("Dienste!D"&amp;H584)</f>
        <v>0</v>
      </c>
    </row>
    <row r="585" spans="8:9">
      <c r="H585" s="5">
        <v>586</v>
      </c>
      <c r="I585" s="5" cm="1">
        <f t="array" aca="1" ref="I585" ca="1">INDIRECT("Dienste!D"&amp;H585)</f>
        <v>0</v>
      </c>
    </row>
    <row r="586" spans="8:9">
      <c r="H586" s="5">
        <v>587</v>
      </c>
      <c r="I586" s="5" cm="1">
        <f t="array" aca="1" ref="I586" ca="1">INDIRECT("Dienste!D"&amp;H586)</f>
        <v>0</v>
      </c>
    </row>
    <row r="587" spans="8:9">
      <c r="H587" s="5">
        <v>588</v>
      </c>
      <c r="I587" s="5" cm="1">
        <f t="array" aca="1" ref="I587" ca="1">INDIRECT("Dienste!D"&amp;H587)</f>
        <v>0</v>
      </c>
    </row>
    <row r="588" spans="8:9">
      <c r="H588" s="5">
        <v>589</v>
      </c>
      <c r="I588" s="5" cm="1">
        <f t="array" aca="1" ref="I588" ca="1">INDIRECT("Dienste!D"&amp;H588)</f>
        <v>0</v>
      </c>
    </row>
    <row r="589" spans="8:9">
      <c r="H589" s="5">
        <v>590</v>
      </c>
      <c r="I589" s="5" cm="1">
        <f t="array" aca="1" ref="I589" ca="1">INDIRECT("Dienste!D"&amp;H589)</f>
        <v>0</v>
      </c>
    </row>
    <row r="590" spans="8:9">
      <c r="H590" s="5">
        <v>591</v>
      </c>
      <c r="I590" s="5" cm="1">
        <f t="array" aca="1" ref="I590" ca="1">INDIRECT("Dienste!D"&amp;H590)</f>
        <v>0</v>
      </c>
    </row>
    <row r="591" spans="8:9">
      <c r="H591" s="5">
        <v>592</v>
      </c>
      <c r="I591" s="5" cm="1">
        <f t="array" aca="1" ref="I591" ca="1">INDIRECT("Dienste!D"&amp;H591)</f>
        <v>0</v>
      </c>
    </row>
    <row r="592" spans="8:9">
      <c r="H592" s="5">
        <v>593</v>
      </c>
      <c r="I592" s="5" cm="1">
        <f t="array" aca="1" ref="I592" ca="1">INDIRECT("Dienste!D"&amp;H592)</f>
        <v>0</v>
      </c>
    </row>
    <row r="593" spans="8:9">
      <c r="H593" s="5">
        <v>594</v>
      </c>
      <c r="I593" s="5" cm="1">
        <f t="array" aca="1" ref="I593" ca="1">INDIRECT("Dienste!D"&amp;H593)</f>
        <v>0</v>
      </c>
    </row>
    <row r="594" spans="8:9">
      <c r="H594" s="5">
        <v>595</v>
      </c>
      <c r="I594" s="5" cm="1">
        <f t="array" aca="1" ref="I594" ca="1">INDIRECT("Dienste!D"&amp;H594)</f>
        <v>0</v>
      </c>
    </row>
    <row r="595" spans="8:9">
      <c r="H595" s="5">
        <v>596</v>
      </c>
      <c r="I595" s="5" cm="1">
        <f t="array" aca="1" ref="I595" ca="1">INDIRECT("Dienste!D"&amp;H595)</f>
        <v>0</v>
      </c>
    </row>
    <row r="596" spans="8:9">
      <c r="H596" s="5">
        <v>597</v>
      </c>
      <c r="I596" s="5" cm="1">
        <f t="array" aca="1" ref="I596" ca="1">INDIRECT("Dienste!D"&amp;H596)</f>
        <v>0</v>
      </c>
    </row>
    <row r="597" spans="8:9">
      <c r="H597" s="5">
        <v>598</v>
      </c>
      <c r="I597" s="5" cm="1">
        <f t="array" aca="1" ref="I597" ca="1">INDIRECT("Dienste!D"&amp;H597)</f>
        <v>0</v>
      </c>
    </row>
    <row r="598" spans="8:9">
      <c r="H598" s="5">
        <v>599</v>
      </c>
      <c r="I598" s="5" cm="1">
        <f t="array" aca="1" ref="I598" ca="1">INDIRECT("Dienste!D"&amp;H598)</f>
        <v>0</v>
      </c>
    </row>
    <row r="599" spans="8:9">
      <c r="H599" s="5">
        <v>600</v>
      </c>
      <c r="I599" s="5" cm="1">
        <f t="array" aca="1" ref="I599" ca="1">INDIRECT("Dienste!D"&amp;H599)</f>
        <v>0</v>
      </c>
    </row>
    <row r="600" spans="8:9">
      <c r="H600" s="5">
        <v>601</v>
      </c>
      <c r="I600" s="5" cm="1">
        <f t="array" aca="1" ref="I600" ca="1">INDIRECT("Dienste!D"&amp;H600)</f>
        <v>0</v>
      </c>
    </row>
    <row r="601" spans="8:9">
      <c r="H601" s="5">
        <v>602</v>
      </c>
      <c r="I601" s="5" cm="1">
        <f t="array" aca="1" ref="I601" ca="1">INDIRECT("Dienste!D"&amp;H601)</f>
        <v>0</v>
      </c>
    </row>
    <row r="602" spans="8:9">
      <c r="H602" s="5">
        <v>603</v>
      </c>
      <c r="I602" s="5" cm="1">
        <f t="array" aca="1" ref="I602" ca="1">INDIRECT("Dienste!D"&amp;H602)</f>
        <v>0</v>
      </c>
    </row>
    <row r="603" spans="8:9">
      <c r="H603" s="5">
        <v>604</v>
      </c>
      <c r="I603" s="5" cm="1">
        <f t="array" aca="1" ref="I603" ca="1">INDIRECT("Dienste!D"&amp;H603)</f>
        <v>0</v>
      </c>
    </row>
    <row r="604" spans="8:9">
      <c r="H604" s="5">
        <v>605</v>
      </c>
      <c r="I604" s="5" cm="1">
        <f t="array" aca="1" ref="I604" ca="1">INDIRECT("Dienste!D"&amp;H604)</f>
        <v>0</v>
      </c>
    </row>
    <row r="605" spans="8:9">
      <c r="H605" s="5">
        <v>606</v>
      </c>
      <c r="I605" s="5" cm="1">
        <f t="array" aca="1" ref="I605" ca="1">INDIRECT("Dienste!D"&amp;H605)</f>
        <v>0</v>
      </c>
    </row>
    <row r="606" spans="8:9">
      <c r="H606" s="5">
        <v>607</v>
      </c>
      <c r="I606" s="5" cm="1">
        <f t="array" aca="1" ref="I606" ca="1">INDIRECT("Dienste!D"&amp;H606)</f>
        <v>0</v>
      </c>
    </row>
    <row r="607" spans="8:9">
      <c r="H607" s="5">
        <v>608</v>
      </c>
      <c r="I607" s="5" cm="1">
        <f t="array" aca="1" ref="I607" ca="1">INDIRECT("Dienste!D"&amp;H607)</f>
        <v>0</v>
      </c>
    </row>
    <row r="608" spans="8:9">
      <c r="H608" s="5">
        <v>609</v>
      </c>
      <c r="I608" s="5" cm="1">
        <f t="array" aca="1" ref="I608" ca="1">INDIRECT("Dienste!D"&amp;H608)</f>
        <v>0</v>
      </c>
    </row>
    <row r="609" spans="8:9">
      <c r="H609" s="5">
        <v>610</v>
      </c>
      <c r="I609" s="5" cm="1">
        <f t="array" aca="1" ref="I609" ca="1">INDIRECT("Dienste!D"&amp;H609)</f>
        <v>0</v>
      </c>
    </row>
    <row r="610" spans="8:9">
      <c r="H610" s="5">
        <v>611</v>
      </c>
      <c r="I610" s="5" cm="1">
        <f t="array" aca="1" ref="I610" ca="1">INDIRECT("Dienste!D"&amp;H610)</f>
        <v>0</v>
      </c>
    </row>
    <row r="611" spans="8:9">
      <c r="H611" s="5">
        <v>612</v>
      </c>
      <c r="I611" s="5" cm="1">
        <f t="array" aca="1" ref="I611" ca="1">INDIRECT("Dienste!D"&amp;H611)</f>
        <v>0</v>
      </c>
    </row>
    <row r="612" spans="8:9">
      <c r="H612" s="5">
        <v>613</v>
      </c>
      <c r="I612" s="5" cm="1">
        <f t="array" aca="1" ref="I612" ca="1">INDIRECT("Dienste!D"&amp;H612)</f>
        <v>0</v>
      </c>
    </row>
    <row r="613" spans="8:9">
      <c r="H613" s="5">
        <v>614</v>
      </c>
      <c r="I613" s="5" cm="1">
        <f t="array" aca="1" ref="I613" ca="1">INDIRECT("Dienste!D"&amp;H613)</f>
        <v>0</v>
      </c>
    </row>
    <row r="614" spans="8:9">
      <c r="H614" s="5">
        <v>615</v>
      </c>
      <c r="I614" s="5" cm="1">
        <f t="array" aca="1" ref="I614" ca="1">INDIRECT("Dienste!D"&amp;H614)</f>
        <v>0</v>
      </c>
    </row>
    <row r="615" spans="8:9">
      <c r="H615" s="5">
        <v>616</v>
      </c>
      <c r="I615" s="5" cm="1">
        <f t="array" aca="1" ref="I615" ca="1">INDIRECT("Dienste!D"&amp;H615)</f>
        <v>0</v>
      </c>
    </row>
    <row r="616" spans="8:9">
      <c r="H616" s="5">
        <v>617</v>
      </c>
      <c r="I616" s="5" cm="1">
        <f t="array" aca="1" ref="I616" ca="1">INDIRECT("Dienste!D"&amp;H616)</f>
        <v>0</v>
      </c>
    </row>
    <row r="617" spans="8:9">
      <c r="H617" s="5">
        <v>618</v>
      </c>
      <c r="I617" s="5" cm="1">
        <f t="array" aca="1" ref="I617" ca="1">INDIRECT("Dienste!D"&amp;H617)</f>
        <v>0</v>
      </c>
    </row>
    <row r="618" spans="8:9">
      <c r="H618" s="5">
        <v>619</v>
      </c>
      <c r="I618" s="5" cm="1">
        <f t="array" aca="1" ref="I618" ca="1">INDIRECT("Dienste!D"&amp;H618)</f>
        <v>0</v>
      </c>
    </row>
    <row r="619" spans="8:9">
      <c r="H619" s="5">
        <v>620</v>
      </c>
      <c r="I619" s="5" cm="1">
        <f t="array" aca="1" ref="I619" ca="1">INDIRECT("Dienste!D"&amp;H619)</f>
        <v>0</v>
      </c>
    </row>
    <row r="620" spans="8:9">
      <c r="H620" s="5">
        <v>621</v>
      </c>
      <c r="I620" s="5" cm="1">
        <f t="array" aca="1" ref="I620" ca="1">INDIRECT("Dienste!D"&amp;H620)</f>
        <v>0</v>
      </c>
    </row>
    <row r="621" spans="8:9">
      <c r="H621" s="5">
        <v>622</v>
      </c>
      <c r="I621" s="5" cm="1">
        <f t="array" aca="1" ref="I621" ca="1">INDIRECT("Dienste!D"&amp;H621)</f>
        <v>0</v>
      </c>
    </row>
    <row r="622" spans="8:9">
      <c r="H622" s="5">
        <v>623</v>
      </c>
      <c r="I622" s="5" cm="1">
        <f t="array" aca="1" ref="I622" ca="1">INDIRECT("Dienste!D"&amp;H622)</f>
        <v>0</v>
      </c>
    </row>
    <row r="623" spans="8:9">
      <c r="H623" s="5">
        <v>624</v>
      </c>
      <c r="I623" s="5" cm="1">
        <f t="array" aca="1" ref="I623" ca="1">INDIRECT("Dienste!D"&amp;H623)</f>
        <v>0</v>
      </c>
    </row>
    <row r="624" spans="8:9">
      <c r="H624" s="5">
        <v>625</v>
      </c>
      <c r="I624" s="5" cm="1">
        <f t="array" aca="1" ref="I624" ca="1">INDIRECT("Dienste!D"&amp;H624)</f>
        <v>0</v>
      </c>
    </row>
    <row r="625" spans="8:9">
      <c r="H625" s="5">
        <v>626</v>
      </c>
      <c r="I625" s="5" cm="1">
        <f t="array" aca="1" ref="I625" ca="1">INDIRECT("Dienste!D"&amp;H625)</f>
        <v>0</v>
      </c>
    </row>
    <row r="626" spans="8:9">
      <c r="H626" s="5">
        <v>627</v>
      </c>
      <c r="I626" s="5" cm="1">
        <f t="array" aca="1" ref="I626" ca="1">INDIRECT("Dienste!D"&amp;H626)</f>
        <v>0</v>
      </c>
    </row>
    <row r="627" spans="8:9">
      <c r="H627" s="5">
        <v>628</v>
      </c>
      <c r="I627" s="5" cm="1">
        <f t="array" aca="1" ref="I627" ca="1">INDIRECT("Dienste!D"&amp;H627)</f>
        <v>0</v>
      </c>
    </row>
    <row r="628" spans="8:9">
      <c r="H628" s="5">
        <v>629</v>
      </c>
      <c r="I628" s="5" cm="1">
        <f t="array" aca="1" ref="I628" ca="1">INDIRECT("Dienste!D"&amp;H628)</f>
        <v>0</v>
      </c>
    </row>
    <row r="629" spans="8:9">
      <c r="H629" s="5">
        <v>630</v>
      </c>
      <c r="I629" s="5" cm="1">
        <f t="array" aca="1" ref="I629" ca="1">INDIRECT("Dienste!D"&amp;H629)</f>
        <v>0</v>
      </c>
    </row>
    <row r="630" spans="8:9">
      <c r="H630" s="5">
        <v>631</v>
      </c>
      <c r="I630" s="5" cm="1">
        <f t="array" aca="1" ref="I630" ca="1">INDIRECT("Dienste!D"&amp;H630)</f>
        <v>0</v>
      </c>
    </row>
    <row r="631" spans="8:9">
      <c r="H631" s="5">
        <v>632</v>
      </c>
      <c r="I631" s="5" cm="1">
        <f t="array" aca="1" ref="I631" ca="1">INDIRECT("Dienste!D"&amp;H631)</f>
        <v>0</v>
      </c>
    </row>
    <row r="632" spans="8:9">
      <c r="H632" s="5">
        <v>633</v>
      </c>
      <c r="I632" s="5" cm="1">
        <f t="array" aca="1" ref="I632" ca="1">INDIRECT("Dienste!D"&amp;H632)</f>
        <v>0</v>
      </c>
    </row>
    <row r="633" spans="8:9">
      <c r="H633" s="5">
        <v>634</v>
      </c>
      <c r="I633" s="5" cm="1">
        <f t="array" aca="1" ref="I633" ca="1">INDIRECT("Dienste!D"&amp;H633)</f>
        <v>0</v>
      </c>
    </row>
    <row r="634" spans="8:9">
      <c r="H634" s="5">
        <v>635</v>
      </c>
      <c r="I634" s="5" cm="1">
        <f t="array" aca="1" ref="I634" ca="1">INDIRECT("Dienste!D"&amp;H634)</f>
        <v>0</v>
      </c>
    </row>
    <row r="635" spans="8:9">
      <c r="H635" s="5">
        <v>636</v>
      </c>
      <c r="I635" s="5" cm="1">
        <f t="array" aca="1" ref="I635" ca="1">INDIRECT("Dienste!D"&amp;H635)</f>
        <v>0</v>
      </c>
    </row>
    <row r="636" spans="8:9">
      <c r="H636" s="5">
        <v>637</v>
      </c>
      <c r="I636" s="5" cm="1">
        <f t="array" aca="1" ref="I636" ca="1">INDIRECT("Dienste!D"&amp;H636)</f>
        <v>0</v>
      </c>
    </row>
    <row r="637" spans="8:9">
      <c r="H637" s="5">
        <v>638</v>
      </c>
      <c r="I637" s="5" cm="1">
        <f t="array" aca="1" ref="I637" ca="1">INDIRECT("Dienste!D"&amp;H637)</f>
        <v>0</v>
      </c>
    </row>
    <row r="638" spans="8:9">
      <c r="H638" s="5">
        <v>639</v>
      </c>
      <c r="I638" s="5" cm="1">
        <f t="array" aca="1" ref="I638" ca="1">INDIRECT("Dienste!D"&amp;H638)</f>
        <v>0</v>
      </c>
    </row>
    <row r="639" spans="8:9">
      <c r="H639" s="5">
        <v>640</v>
      </c>
      <c r="I639" s="5" cm="1">
        <f t="array" aca="1" ref="I639" ca="1">INDIRECT("Dienste!D"&amp;H639)</f>
        <v>0</v>
      </c>
    </row>
    <row r="640" spans="8:9">
      <c r="H640" s="5">
        <v>641</v>
      </c>
      <c r="I640" s="5" cm="1">
        <f t="array" aca="1" ref="I640" ca="1">INDIRECT("Dienste!D"&amp;H640)</f>
        <v>0</v>
      </c>
    </row>
    <row r="641" spans="8:9">
      <c r="H641" s="5">
        <v>642</v>
      </c>
      <c r="I641" s="5" cm="1">
        <f t="array" aca="1" ref="I641" ca="1">INDIRECT("Dienste!D"&amp;H641)</f>
        <v>0</v>
      </c>
    </row>
    <row r="642" spans="8:9">
      <c r="H642" s="5">
        <v>643</v>
      </c>
      <c r="I642" s="5" cm="1">
        <f t="array" aca="1" ref="I642" ca="1">INDIRECT("Dienste!D"&amp;H642)</f>
        <v>0</v>
      </c>
    </row>
    <row r="643" spans="8:9">
      <c r="H643" s="5">
        <v>644</v>
      </c>
      <c r="I643" s="5" cm="1">
        <f t="array" aca="1" ref="I643" ca="1">INDIRECT("Dienste!D"&amp;H643)</f>
        <v>0</v>
      </c>
    </row>
    <row r="644" spans="8:9">
      <c r="H644" s="5">
        <v>645</v>
      </c>
      <c r="I644" s="5" cm="1">
        <f t="array" aca="1" ref="I644" ca="1">INDIRECT("Dienste!D"&amp;H644)</f>
        <v>0</v>
      </c>
    </row>
    <row r="645" spans="8:9">
      <c r="H645" s="5">
        <v>646</v>
      </c>
      <c r="I645" s="5" cm="1">
        <f t="array" aca="1" ref="I645" ca="1">INDIRECT("Dienste!D"&amp;H645)</f>
        <v>0</v>
      </c>
    </row>
    <row r="646" spans="8:9">
      <c r="H646" s="5">
        <v>647</v>
      </c>
      <c r="I646" s="5" cm="1">
        <f t="array" aca="1" ref="I646" ca="1">INDIRECT("Dienste!D"&amp;H646)</f>
        <v>0</v>
      </c>
    </row>
    <row r="647" spans="8:9">
      <c r="H647" s="5">
        <v>648</v>
      </c>
      <c r="I647" s="5" cm="1">
        <f t="array" aca="1" ref="I647" ca="1">INDIRECT("Dienste!D"&amp;H647)</f>
        <v>0</v>
      </c>
    </row>
    <row r="648" spans="8:9">
      <c r="H648" s="5">
        <v>649</v>
      </c>
      <c r="I648" s="5" cm="1">
        <f t="array" aca="1" ref="I648" ca="1">INDIRECT("Dienste!D"&amp;H648)</f>
        <v>0</v>
      </c>
    </row>
    <row r="649" spans="8:9">
      <c r="H649" s="5">
        <v>650</v>
      </c>
      <c r="I649" s="5" cm="1">
        <f t="array" aca="1" ref="I649" ca="1">INDIRECT("Dienste!D"&amp;H649)</f>
        <v>0</v>
      </c>
    </row>
    <row r="650" spans="8:9">
      <c r="H650" s="5">
        <v>651</v>
      </c>
      <c r="I650" s="5" cm="1">
        <f t="array" aca="1" ref="I650" ca="1">INDIRECT("Dienste!D"&amp;H650)</f>
        <v>0</v>
      </c>
    </row>
    <row r="651" spans="8:9">
      <c r="H651" s="5">
        <v>652</v>
      </c>
      <c r="I651" s="5" cm="1">
        <f t="array" aca="1" ref="I651" ca="1">INDIRECT("Dienste!D"&amp;H651)</f>
        <v>0</v>
      </c>
    </row>
    <row r="652" spans="8:9">
      <c r="H652" s="5">
        <v>653</v>
      </c>
      <c r="I652" s="5" cm="1">
        <f t="array" aca="1" ref="I652" ca="1">INDIRECT("Dienste!D"&amp;H652)</f>
        <v>0</v>
      </c>
    </row>
    <row r="653" spans="8:9">
      <c r="H653" s="5">
        <v>654</v>
      </c>
      <c r="I653" s="5" cm="1">
        <f t="array" aca="1" ref="I653" ca="1">INDIRECT("Dienste!D"&amp;H653)</f>
        <v>0</v>
      </c>
    </row>
    <row r="654" spans="8:9">
      <c r="H654" s="5">
        <v>655</v>
      </c>
      <c r="I654" s="5" cm="1">
        <f t="array" aca="1" ref="I654" ca="1">INDIRECT("Dienste!D"&amp;H654)</f>
        <v>0</v>
      </c>
    </row>
    <row r="655" spans="8:9">
      <c r="H655" s="5">
        <v>656</v>
      </c>
      <c r="I655" s="5" cm="1">
        <f t="array" aca="1" ref="I655" ca="1">INDIRECT("Dienste!D"&amp;H655)</f>
        <v>0</v>
      </c>
    </row>
    <row r="656" spans="8:9">
      <c r="H656" s="5">
        <v>657</v>
      </c>
      <c r="I656" s="5" cm="1">
        <f t="array" aca="1" ref="I656" ca="1">INDIRECT("Dienste!D"&amp;H656)</f>
        <v>0</v>
      </c>
    </row>
    <row r="657" spans="8:9">
      <c r="H657" s="5">
        <v>658</v>
      </c>
      <c r="I657" s="5" cm="1">
        <f t="array" aca="1" ref="I657" ca="1">INDIRECT("Dienste!D"&amp;H657)</f>
        <v>0</v>
      </c>
    </row>
    <row r="658" spans="8:9">
      <c r="H658" s="5">
        <v>659</v>
      </c>
      <c r="I658" s="5" cm="1">
        <f t="array" aca="1" ref="I658" ca="1">INDIRECT("Dienste!D"&amp;H658)</f>
        <v>0</v>
      </c>
    </row>
    <row r="659" spans="8:9">
      <c r="H659" s="5">
        <v>660</v>
      </c>
      <c r="I659" s="5" cm="1">
        <f t="array" aca="1" ref="I659" ca="1">INDIRECT("Dienste!D"&amp;H659)</f>
        <v>0</v>
      </c>
    </row>
    <row r="660" spans="8:9">
      <c r="H660" s="5">
        <v>661</v>
      </c>
      <c r="I660" s="5" cm="1">
        <f t="array" aca="1" ref="I660" ca="1">INDIRECT("Dienste!D"&amp;H660)</f>
        <v>0</v>
      </c>
    </row>
    <row r="661" spans="8:9">
      <c r="H661" s="5">
        <v>662</v>
      </c>
      <c r="I661" s="5" cm="1">
        <f t="array" aca="1" ref="I661" ca="1">INDIRECT("Dienste!D"&amp;H661)</f>
        <v>0</v>
      </c>
    </row>
    <row r="662" spans="8:9">
      <c r="H662" s="5">
        <v>663</v>
      </c>
      <c r="I662" s="5" cm="1">
        <f t="array" aca="1" ref="I662" ca="1">INDIRECT("Dienste!D"&amp;H662)</f>
        <v>0</v>
      </c>
    </row>
    <row r="663" spans="8:9">
      <c r="H663" s="5">
        <v>664</v>
      </c>
      <c r="I663" s="5" cm="1">
        <f t="array" aca="1" ref="I663" ca="1">INDIRECT("Dienste!D"&amp;H663)</f>
        <v>0</v>
      </c>
    </row>
    <row r="664" spans="8:9">
      <c r="H664" s="5">
        <v>665</v>
      </c>
      <c r="I664" s="5" cm="1">
        <f t="array" aca="1" ref="I664" ca="1">INDIRECT("Dienste!D"&amp;H664)</f>
        <v>0</v>
      </c>
    </row>
    <row r="665" spans="8:9">
      <c r="H665" s="5">
        <v>666</v>
      </c>
      <c r="I665" s="5" cm="1">
        <f t="array" aca="1" ref="I665" ca="1">INDIRECT("Dienste!D"&amp;H665)</f>
        <v>0</v>
      </c>
    </row>
    <row r="666" spans="8:9">
      <c r="H666" s="5">
        <v>667</v>
      </c>
      <c r="I666" s="5" cm="1">
        <f t="array" aca="1" ref="I666" ca="1">INDIRECT("Dienste!D"&amp;H666)</f>
        <v>0</v>
      </c>
    </row>
    <row r="667" spans="8:9">
      <c r="H667" s="5">
        <v>668</v>
      </c>
      <c r="I667" s="5" cm="1">
        <f t="array" aca="1" ref="I667" ca="1">INDIRECT("Dienste!D"&amp;H667)</f>
        <v>0</v>
      </c>
    </row>
    <row r="668" spans="8:9">
      <c r="H668" s="5">
        <v>669</v>
      </c>
      <c r="I668" s="5" cm="1">
        <f t="array" aca="1" ref="I668" ca="1">INDIRECT("Dienste!D"&amp;H668)</f>
        <v>0</v>
      </c>
    </row>
    <row r="669" spans="8:9">
      <c r="H669" s="5">
        <v>670</v>
      </c>
      <c r="I669" s="5" cm="1">
        <f t="array" aca="1" ref="I669" ca="1">INDIRECT("Dienste!D"&amp;H669)</f>
        <v>0</v>
      </c>
    </row>
    <row r="670" spans="8:9">
      <c r="H670" s="5">
        <v>671</v>
      </c>
      <c r="I670" s="5" cm="1">
        <f t="array" aca="1" ref="I670" ca="1">INDIRECT("Dienste!D"&amp;H670)</f>
        <v>0</v>
      </c>
    </row>
    <row r="671" spans="8:9">
      <c r="H671" s="5">
        <v>672</v>
      </c>
      <c r="I671" s="5" cm="1">
        <f t="array" aca="1" ref="I671" ca="1">INDIRECT("Dienste!D"&amp;H671)</f>
        <v>0</v>
      </c>
    </row>
    <row r="672" spans="8:9">
      <c r="H672" s="5">
        <v>673</v>
      </c>
      <c r="I672" s="5" cm="1">
        <f t="array" aca="1" ref="I672" ca="1">INDIRECT("Dienste!D"&amp;H672)</f>
        <v>0</v>
      </c>
    </row>
    <row r="673" spans="8:9">
      <c r="H673" s="5">
        <v>674</v>
      </c>
      <c r="I673" s="5" cm="1">
        <f t="array" aca="1" ref="I673" ca="1">INDIRECT("Dienste!D"&amp;H673)</f>
        <v>0</v>
      </c>
    </row>
    <row r="674" spans="8:9">
      <c r="H674" s="5">
        <v>675</v>
      </c>
      <c r="I674" s="5" cm="1">
        <f t="array" aca="1" ref="I674" ca="1">INDIRECT("Dienste!D"&amp;H674)</f>
        <v>0</v>
      </c>
    </row>
    <row r="675" spans="8:9">
      <c r="H675" s="5">
        <v>676</v>
      </c>
      <c r="I675" s="5" cm="1">
        <f t="array" aca="1" ref="I675" ca="1">INDIRECT("Dienste!D"&amp;H675)</f>
        <v>0</v>
      </c>
    </row>
    <row r="676" spans="8:9">
      <c r="H676" s="5">
        <v>677</v>
      </c>
      <c r="I676" s="5" cm="1">
        <f t="array" aca="1" ref="I676" ca="1">INDIRECT("Dienste!D"&amp;H676)</f>
        <v>0</v>
      </c>
    </row>
    <row r="677" spans="8:9">
      <c r="H677" s="5">
        <v>678</v>
      </c>
      <c r="I677" s="5" cm="1">
        <f t="array" aca="1" ref="I677" ca="1">INDIRECT("Dienste!D"&amp;H677)</f>
        <v>0</v>
      </c>
    </row>
    <row r="678" spans="8:9">
      <c r="H678" s="5">
        <v>679</v>
      </c>
      <c r="I678" s="5" cm="1">
        <f t="array" aca="1" ref="I678" ca="1">INDIRECT("Dienste!D"&amp;H678)</f>
        <v>0</v>
      </c>
    </row>
    <row r="679" spans="8:9">
      <c r="H679" s="5">
        <v>680</v>
      </c>
      <c r="I679" s="5" cm="1">
        <f t="array" aca="1" ref="I679" ca="1">INDIRECT("Dienste!D"&amp;H679)</f>
        <v>0</v>
      </c>
    </row>
    <row r="680" spans="8:9">
      <c r="H680" s="5">
        <v>681</v>
      </c>
      <c r="I680" s="5" cm="1">
        <f t="array" aca="1" ref="I680" ca="1">INDIRECT("Dienste!D"&amp;H680)</f>
        <v>0</v>
      </c>
    </row>
    <row r="681" spans="8:9">
      <c r="H681" s="5">
        <v>682</v>
      </c>
      <c r="I681" s="5" cm="1">
        <f t="array" aca="1" ref="I681" ca="1">INDIRECT("Dienste!D"&amp;H681)</f>
        <v>0</v>
      </c>
    </row>
    <row r="682" spans="8:9">
      <c r="H682" s="5">
        <v>683</v>
      </c>
      <c r="I682" s="5" cm="1">
        <f t="array" aca="1" ref="I682" ca="1">INDIRECT("Dienste!D"&amp;H682)</f>
        <v>0</v>
      </c>
    </row>
    <row r="683" spans="8:9">
      <c r="H683" s="5">
        <v>684</v>
      </c>
      <c r="I683" s="5" cm="1">
        <f t="array" aca="1" ref="I683" ca="1">INDIRECT("Dienste!D"&amp;H683)</f>
        <v>0</v>
      </c>
    </row>
    <row r="684" spans="8:9">
      <c r="H684" s="5">
        <v>685</v>
      </c>
      <c r="I684" s="5" cm="1">
        <f t="array" aca="1" ref="I684" ca="1">INDIRECT("Dienste!D"&amp;H684)</f>
        <v>0</v>
      </c>
    </row>
    <row r="685" spans="8:9">
      <c r="H685" s="5">
        <v>686</v>
      </c>
      <c r="I685" s="5" cm="1">
        <f t="array" aca="1" ref="I685" ca="1">INDIRECT("Dienste!D"&amp;H685)</f>
        <v>0</v>
      </c>
    </row>
    <row r="686" spans="8:9">
      <c r="H686" s="5">
        <v>687</v>
      </c>
      <c r="I686" s="5" cm="1">
        <f t="array" aca="1" ref="I686" ca="1">INDIRECT("Dienste!D"&amp;H686)</f>
        <v>0</v>
      </c>
    </row>
    <row r="687" spans="8:9">
      <c r="H687" s="5">
        <v>688</v>
      </c>
      <c r="I687" s="5" cm="1">
        <f t="array" aca="1" ref="I687" ca="1">INDIRECT("Dienste!D"&amp;H687)</f>
        <v>0</v>
      </c>
    </row>
    <row r="688" spans="8:9">
      <c r="H688" s="5">
        <v>689</v>
      </c>
      <c r="I688" s="5" cm="1">
        <f t="array" aca="1" ref="I688" ca="1">INDIRECT("Dienste!D"&amp;H688)</f>
        <v>0</v>
      </c>
    </row>
    <row r="689" spans="8:9">
      <c r="H689" s="5">
        <v>690</v>
      </c>
      <c r="I689" s="5" cm="1">
        <f t="array" aca="1" ref="I689" ca="1">INDIRECT("Dienste!D"&amp;H689)</f>
        <v>0</v>
      </c>
    </row>
    <row r="690" spans="8:9">
      <c r="H690" s="5">
        <v>691</v>
      </c>
      <c r="I690" s="5" cm="1">
        <f t="array" aca="1" ref="I690" ca="1">INDIRECT("Dienste!D"&amp;H690)</f>
        <v>0</v>
      </c>
    </row>
    <row r="691" spans="8:9">
      <c r="H691" s="5">
        <v>692</v>
      </c>
      <c r="I691" s="5" cm="1">
        <f t="array" aca="1" ref="I691" ca="1">INDIRECT("Dienste!D"&amp;H691)</f>
        <v>0</v>
      </c>
    </row>
    <row r="692" spans="8:9">
      <c r="H692" s="5">
        <v>693</v>
      </c>
      <c r="I692" s="5" cm="1">
        <f t="array" aca="1" ref="I692" ca="1">INDIRECT("Dienste!D"&amp;H692)</f>
        <v>0</v>
      </c>
    </row>
    <row r="693" spans="8:9">
      <c r="H693" s="5">
        <v>694</v>
      </c>
      <c r="I693" s="5" cm="1">
        <f t="array" aca="1" ref="I693" ca="1">INDIRECT("Dienste!D"&amp;H693)</f>
        <v>0</v>
      </c>
    </row>
    <row r="694" spans="8:9">
      <c r="H694" s="5">
        <v>695</v>
      </c>
      <c r="I694" s="5" cm="1">
        <f t="array" aca="1" ref="I694" ca="1">INDIRECT("Dienste!D"&amp;H694)</f>
        <v>0</v>
      </c>
    </row>
    <row r="695" spans="8:9">
      <c r="H695" s="5">
        <v>696</v>
      </c>
      <c r="I695" s="5" cm="1">
        <f t="array" aca="1" ref="I695" ca="1">INDIRECT("Dienste!D"&amp;H695)</f>
        <v>0</v>
      </c>
    </row>
    <row r="696" spans="8:9">
      <c r="H696" s="5">
        <v>697</v>
      </c>
      <c r="I696" s="5" cm="1">
        <f t="array" aca="1" ref="I696" ca="1">INDIRECT("Dienste!D"&amp;H696)</f>
        <v>0</v>
      </c>
    </row>
    <row r="697" spans="8:9">
      <c r="H697" s="5">
        <v>698</v>
      </c>
      <c r="I697" s="5" cm="1">
        <f t="array" aca="1" ref="I697" ca="1">INDIRECT("Dienste!D"&amp;H697)</f>
        <v>0</v>
      </c>
    </row>
    <row r="698" spans="8:9">
      <c r="H698" s="5">
        <v>699</v>
      </c>
      <c r="I698" s="5" cm="1">
        <f t="array" aca="1" ref="I698" ca="1">INDIRECT("Dienste!D"&amp;H698)</f>
        <v>0</v>
      </c>
    </row>
    <row r="699" spans="8:9">
      <c r="H699" s="5">
        <v>700</v>
      </c>
      <c r="I699" s="5" cm="1">
        <f t="array" aca="1" ref="I699" ca="1">INDIRECT("Dienste!D"&amp;H699)</f>
        <v>0</v>
      </c>
    </row>
    <row r="700" spans="8:9">
      <c r="H700" s="5">
        <v>701</v>
      </c>
      <c r="I700" s="5" cm="1">
        <f t="array" aca="1" ref="I700" ca="1">INDIRECT("Dienste!D"&amp;H700)</f>
        <v>0</v>
      </c>
    </row>
    <row r="701" spans="8:9">
      <c r="H701" s="5">
        <v>702</v>
      </c>
      <c r="I701" s="5" cm="1">
        <f t="array" aca="1" ref="I701" ca="1">INDIRECT("Dienste!D"&amp;H701)</f>
        <v>0</v>
      </c>
    </row>
    <row r="702" spans="8:9">
      <c r="H702" s="5">
        <v>703</v>
      </c>
      <c r="I702" s="5" cm="1">
        <f t="array" aca="1" ref="I702" ca="1">INDIRECT("Dienste!D"&amp;H702)</f>
        <v>0</v>
      </c>
    </row>
    <row r="703" spans="8:9">
      <c r="H703" s="5">
        <v>704</v>
      </c>
      <c r="I703" s="5" cm="1">
        <f t="array" aca="1" ref="I703" ca="1">INDIRECT("Dienste!D"&amp;H703)</f>
        <v>0</v>
      </c>
    </row>
    <row r="704" spans="8:9">
      <c r="H704" s="5">
        <v>705</v>
      </c>
      <c r="I704" s="5" cm="1">
        <f t="array" aca="1" ref="I704" ca="1">INDIRECT("Dienste!D"&amp;H704)</f>
        <v>0</v>
      </c>
    </row>
    <row r="705" spans="8:9">
      <c r="H705" s="5">
        <v>706</v>
      </c>
      <c r="I705" s="5" cm="1">
        <f t="array" aca="1" ref="I705" ca="1">INDIRECT("Dienste!D"&amp;H705)</f>
        <v>0</v>
      </c>
    </row>
    <row r="706" spans="8:9">
      <c r="H706" s="5">
        <v>707</v>
      </c>
      <c r="I706" s="5" cm="1">
        <f t="array" aca="1" ref="I706" ca="1">INDIRECT("Dienste!D"&amp;H706)</f>
        <v>0</v>
      </c>
    </row>
    <row r="707" spans="8:9">
      <c r="H707" s="5">
        <v>708</v>
      </c>
      <c r="I707" s="5" cm="1">
        <f t="array" aca="1" ref="I707" ca="1">INDIRECT("Dienste!D"&amp;H707)</f>
        <v>0</v>
      </c>
    </row>
    <row r="708" spans="8:9">
      <c r="H708" s="5">
        <v>709</v>
      </c>
      <c r="I708" s="5" cm="1">
        <f t="array" aca="1" ref="I708" ca="1">INDIRECT("Dienste!D"&amp;H708)</f>
        <v>0</v>
      </c>
    </row>
    <row r="709" spans="8:9">
      <c r="H709" s="5">
        <v>710</v>
      </c>
      <c r="I709" s="5" cm="1">
        <f t="array" aca="1" ref="I709" ca="1">INDIRECT("Dienste!D"&amp;H709)</f>
        <v>0</v>
      </c>
    </row>
    <row r="710" spans="8:9">
      <c r="H710" s="5">
        <v>711</v>
      </c>
      <c r="I710" s="5" cm="1">
        <f t="array" aca="1" ref="I710" ca="1">INDIRECT("Dienste!D"&amp;H710)</f>
        <v>0</v>
      </c>
    </row>
    <row r="711" spans="8:9">
      <c r="H711" s="5">
        <v>712</v>
      </c>
      <c r="I711" s="5" cm="1">
        <f t="array" aca="1" ref="I711" ca="1">INDIRECT("Dienste!D"&amp;H711)</f>
        <v>0</v>
      </c>
    </row>
    <row r="712" spans="8:9">
      <c r="H712" s="5">
        <v>713</v>
      </c>
      <c r="I712" s="5" cm="1">
        <f t="array" aca="1" ref="I712" ca="1">INDIRECT("Dienste!D"&amp;H712)</f>
        <v>0</v>
      </c>
    </row>
    <row r="713" spans="8:9">
      <c r="H713" s="5">
        <v>714</v>
      </c>
      <c r="I713" s="5" cm="1">
        <f t="array" aca="1" ref="I713" ca="1">INDIRECT("Dienste!D"&amp;H713)</f>
        <v>0</v>
      </c>
    </row>
    <row r="714" spans="8:9">
      <c r="H714" s="5">
        <v>715</v>
      </c>
      <c r="I714" s="5" cm="1">
        <f t="array" aca="1" ref="I714" ca="1">INDIRECT("Dienste!D"&amp;H714)</f>
        <v>0</v>
      </c>
    </row>
    <row r="715" spans="8:9">
      <c r="H715" s="5">
        <v>716</v>
      </c>
      <c r="I715" s="5" cm="1">
        <f t="array" aca="1" ref="I715" ca="1">INDIRECT("Dienste!D"&amp;H715)</f>
        <v>0</v>
      </c>
    </row>
    <row r="716" spans="8:9">
      <c r="H716" s="5">
        <v>717</v>
      </c>
      <c r="I716" s="5" cm="1">
        <f t="array" aca="1" ref="I716" ca="1">INDIRECT("Dienste!D"&amp;H716)</f>
        <v>0</v>
      </c>
    </row>
    <row r="717" spans="8:9">
      <c r="H717" s="5">
        <v>718</v>
      </c>
      <c r="I717" s="5" cm="1">
        <f t="array" aca="1" ref="I717" ca="1">INDIRECT("Dienste!D"&amp;H717)</f>
        <v>0</v>
      </c>
    </row>
    <row r="718" spans="8:9">
      <c r="H718" s="5">
        <v>719</v>
      </c>
      <c r="I718" s="5" cm="1">
        <f t="array" aca="1" ref="I718" ca="1">INDIRECT("Dienste!D"&amp;H718)</f>
        <v>0</v>
      </c>
    </row>
    <row r="719" spans="8:9">
      <c r="H719" s="5">
        <v>720</v>
      </c>
      <c r="I719" s="5" cm="1">
        <f t="array" aca="1" ref="I719" ca="1">INDIRECT("Dienste!D"&amp;H719)</f>
        <v>0</v>
      </c>
    </row>
    <row r="720" spans="8:9">
      <c r="H720" s="5">
        <v>721</v>
      </c>
      <c r="I720" s="5" cm="1">
        <f t="array" aca="1" ref="I720" ca="1">INDIRECT("Dienste!D"&amp;H720)</f>
        <v>0</v>
      </c>
    </row>
    <row r="721" spans="8:9">
      <c r="H721" s="5">
        <v>722</v>
      </c>
      <c r="I721" s="5" cm="1">
        <f t="array" aca="1" ref="I721" ca="1">INDIRECT("Dienste!D"&amp;H721)</f>
        <v>0</v>
      </c>
    </row>
    <row r="722" spans="8:9">
      <c r="H722" s="5">
        <v>723</v>
      </c>
      <c r="I722" s="5" cm="1">
        <f t="array" aca="1" ref="I722" ca="1">INDIRECT("Dienste!D"&amp;H722)</f>
        <v>0</v>
      </c>
    </row>
    <row r="723" spans="8:9">
      <c r="H723" s="5">
        <v>724</v>
      </c>
      <c r="I723" s="5" cm="1">
        <f t="array" aca="1" ref="I723" ca="1">INDIRECT("Dienste!D"&amp;H723)</f>
        <v>0</v>
      </c>
    </row>
    <row r="724" spans="8:9">
      <c r="H724" s="5">
        <v>725</v>
      </c>
      <c r="I724" s="5" cm="1">
        <f t="array" aca="1" ref="I724" ca="1">INDIRECT("Dienste!D"&amp;H724)</f>
        <v>0</v>
      </c>
    </row>
    <row r="725" spans="8:9">
      <c r="H725" s="5">
        <v>726</v>
      </c>
      <c r="I725" s="5" cm="1">
        <f t="array" aca="1" ref="I725" ca="1">INDIRECT("Dienste!D"&amp;H725)</f>
        <v>0</v>
      </c>
    </row>
    <row r="726" spans="8:9">
      <c r="H726" s="5">
        <v>727</v>
      </c>
      <c r="I726" s="5" cm="1">
        <f t="array" aca="1" ref="I726" ca="1">INDIRECT("Dienste!D"&amp;H726)</f>
        <v>0</v>
      </c>
    </row>
    <row r="727" spans="8:9">
      <c r="H727" s="5">
        <v>728</v>
      </c>
      <c r="I727" s="5" cm="1">
        <f t="array" aca="1" ref="I727" ca="1">INDIRECT("Dienste!D"&amp;H727)</f>
        <v>0</v>
      </c>
    </row>
    <row r="728" spans="8:9">
      <c r="H728" s="5">
        <v>729</v>
      </c>
      <c r="I728" s="5" cm="1">
        <f t="array" aca="1" ref="I728" ca="1">INDIRECT("Dienste!D"&amp;H728)</f>
        <v>0</v>
      </c>
    </row>
    <row r="729" spans="8:9">
      <c r="H729" s="5">
        <v>730</v>
      </c>
      <c r="I729" s="5" cm="1">
        <f t="array" aca="1" ref="I729" ca="1">INDIRECT("Dienste!D"&amp;H729)</f>
        <v>0</v>
      </c>
    </row>
    <row r="730" spans="8:9">
      <c r="H730" s="5">
        <v>731</v>
      </c>
      <c r="I730" s="5" cm="1">
        <f t="array" aca="1" ref="I730" ca="1">INDIRECT("Dienste!D"&amp;H730)</f>
        <v>0</v>
      </c>
    </row>
    <row r="731" spans="8:9">
      <c r="H731" s="5">
        <v>732</v>
      </c>
      <c r="I731" s="5" cm="1">
        <f t="array" aca="1" ref="I731" ca="1">INDIRECT("Dienste!D"&amp;H731)</f>
        <v>0</v>
      </c>
    </row>
    <row r="732" spans="8:9">
      <c r="H732" s="5">
        <v>733</v>
      </c>
      <c r="I732" s="5" cm="1">
        <f t="array" aca="1" ref="I732" ca="1">INDIRECT("Dienste!D"&amp;H732)</f>
        <v>0</v>
      </c>
    </row>
    <row r="733" spans="8:9">
      <c r="H733" s="5">
        <v>734</v>
      </c>
      <c r="I733" s="5" cm="1">
        <f t="array" aca="1" ref="I733" ca="1">INDIRECT("Dienste!D"&amp;H733)</f>
        <v>0</v>
      </c>
    </row>
    <row r="734" spans="8:9">
      <c r="H734" s="5">
        <v>735</v>
      </c>
      <c r="I734" s="5" cm="1">
        <f t="array" aca="1" ref="I734" ca="1">INDIRECT("Dienste!D"&amp;H734)</f>
        <v>0</v>
      </c>
    </row>
    <row r="735" spans="8:9">
      <c r="H735" s="5">
        <v>736</v>
      </c>
      <c r="I735" s="5" cm="1">
        <f t="array" aca="1" ref="I735" ca="1">INDIRECT("Dienste!D"&amp;H735)</f>
        <v>0</v>
      </c>
    </row>
    <row r="736" spans="8:9">
      <c r="H736" s="5">
        <v>737</v>
      </c>
      <c r="I736" s="5" cm="1">
        <f t="array" aca="1" ref="I736" ca="1">INDIRECT("Dienste!D"&amp;H736)</f>
        <v>0</v>
      </c>
    </row>
    <row r="737" spans="8:9">
      <c r="H737" s="5">
        <v>738</v>
      </c>
      <c r="I737" s="5" cm="1">
        <f t="array" aca="1" ref="I737" ca="1">INDIRECT("Dienste!D"&amp;H737)</f>
        <v>0</v>
      </c>
    </row>
    <row r="738" spans="8:9">
      <c r="H738" s="5">
        <v>739</v>
      </c>
      <c r="I738" s="5" cm="1">
        <f t="array" aca="1" ref="I738" ca="1">INDIRECT("Dienste!D"&amp;H738)</f>
        <v>0</v>
      </c>
    </row>
    <row r="739" spans="8:9">
      <c r="H739" s="5">
        <v>740</v>
      </c>
      <c r="I739" s="5" cm="1">
        <f t="array" aca="1" ref="I739" ca="1">INDIRECT("Dienste!D"&amp;H739)</f>
        <v>0</v>
      </c>
    </row>
    <row r="740" spans="8:9">
      <c r="H740" s="5">
        <v>741</v>
      </c>
      <c r="I740" s="5" cm="1">
        <f t="array" aca="1" ref="I740" ca="1">INDIRECT("Dienste!D"&amp;H740)</f>
        <v>0</v>
      </c>
    </row>
    <row r="741" spans="8:9">
      <c r="H741" s="5">
        <v>742</v>
      </c>
      <c r="I741" s="5" cm="1">
        <f t="array" aca="1" ref="I741" ca="1">INDIRECT("Dienste!D"&amp;H741)</f>
        <v>0</v>
      </c>
    </row>
    <row r="742" spans="8:9">
      <c r="H742" s="5">
        <v>743</v>
      </c>
      <c r="I742" s="5" cm="1">
        <f t="array" aca="1" ref="I742" ca="1">INDIRECT("Dienste!D"&amp;H742)</f>
        <v>0</v>
      </c>
    </row>
    <row r="743" spans="8:9">
      <c r="H743" s="5">
        <v>744</v>
      </c>
      <c r="I743" s="5" cm="1">
        <f t="array" aca="1" ref="I743" ca="1">INDIRECT("Dienste!D"&amp;H743)</f>
        <v>0</v>
      </c>
    </row>
    <row r="744" spans="8:9">
      <c r="H744" s="5">
        <v>745</v>
      </c>
      <c r="I744" s="5" cm="1">
        <f t="array" aca="1" ref="I744" ca="1">INDIRECT("Dienste!D"&amp;H744)</f>
        <v>0</v>
      </c>
    </row>
    <row r="745" spans="8:9">
      <c r="H745" s="5">
        <v>746</v>
      </c>
      <c r="I745" s="5" cm="1">
        <f t="array" aca="1" ref="I745" ca="1">INDIRECT("Dienste!D"&amp;H745)</f>
        <v>0</v>
      </c>
    </row>
    <row r="746" spans="8:9">
      <c r="H746" s="5">
        <v>747</v>
      </c>
      <c r="I746" s="5" cm="1">
        <f t="array" aca="1" ref="I746" ca="1">INDIRECT("Dienste!D"&amp;H746)</f>
        <v>0</v>
      </c>
    </row>
    <row r="747" spans="8:9">
      <c r="H747" s="5">
        <v>748</v>
      </c>
      <c r="I747" s="5" cm="1">
        <f t="array" aca="1" ref="I747" ca="1">INDIRECT("Dienste!D"&amp;H747)</f>
        <v>0</v>
      </c>
    </row>
    <row r="748" spans="8:9">
      <c r="H748" s="5">
        <v>749</v>
      </c>
      <c r="I748" s="5" cm="1">
        <f t="array" aca="1" ref="I748" ca="1">INDIRECT("Dienste!D"&amp;H748)</f>
        <v>0</v>
      </c>
    </row>
    <row r="749" spans="8:9">
      <c r="H749" s="5">
        <v>750</v>
      </c>
      <c r="I749" s="5" cm="1">
        <f t="array" aca="1" ref="I749" ca="1">INDIRECT("Dienste!D"&amp;H749)</f>
        <v>0</v>
      </c>
    </row>
    <row r="750" spans="8:9">
      <c r="H750" s="5">
        <v>751</v>
      </c>
      <c r="I750" s="5" cm="1">
        <f t="array" aca="1" ref="I750" ca="1">INDIRECT("Dienste!D"&amp;H750)</f>
        <v>0</v>
      </c>
    </row>
    <row r="751" spans="8:9">
      <c r="H751" s="5">
        <v>752</v>
      </c>
      <c r="I751" s="5" cm="1">
        <f t="array" aca="1" ref="I751" ca="1">INDIRECT("Dienste!D"&amp;H751)</f>
        <v>0</v>
      </c>
    </row>
    <row r="752" spans="8:9">
      <c r="H752" s="5">
        <v>753</v>
      </c>
      <c r="I752" s="5" cm="1">
        <f t="array" aca="1" ref="I752" ca="1">INDIRECT("Dienste!D"&amp;H752)</f>
        <v>0</v>
      </c>
    </row>
    <row r="753" spans="8:9">
      <c r="H753" s="5">
        <v>754</v>
      </c>
      <c r="I753" s="5" cm="1">
        <f t="array" aca="1" ref="I753" ca="1">INDIRECT("Dienste!D"&amp;H753)</f>
        <v>0</v>
      </c>
    </row>
    <row r="754" spans="8:9">
      <c r="H754" s="5">
        <v>755</v>
      </c>
      <c r="I754" s="5" cm="1">
        <f t="array" aca="1" ref="I754" ca="1">INDIRECT("Dienste!D"&amp;H754)</f>
        <v>0</v>
      </c>
    </row>
    <row r="755" spans="8:9">
      <c r="H755" s="5">
        <v>756</v>
      </c>
      <c r="I755" s="5" cm="1">
        <f t="array" aca="1" ref="I755" ca="1">INDIRECT("Dienste!D"&amp;H755)</f>
        <v>0</v>
      </c>
    </row>
    <row r="756" spans="8:9">
      <c r="H756" s="5">
        <v>757</v>
      </c>
      <c r="I756" s="5" cm="1">
        <f t="array" aca="1" ref="I756" ca="1">INDIRECT("Dienste!D"&amp;H756)</f>
        <v>0</v>
      </c>
    </row>
    <row r="757" spans="8:9">
      <c r="H757" s="5">
        <v>758</v>
      </c>
      <c r="I757" s="5" cm="1">
        <f t="array" aca="1" ref="I757" ca="1">INDIRECT("Dienste!D"&amp;H757)</f>
        <v>0</v>
      </c>
    </row>
    <row r="758" spans="8:9">
      <c r="H758" s="5">
        <v>759</v>
      </c>
      <c r="I758" s="5" cm="1">
        <f t="array" aca="1" ref="I758" ca="1">INDIRECT("Dienste!D"&amp;H758)</f>
        <v>0</v>
      </c>
    </row>
    <row r="759" spans="8:9">
      <c r="H759" s="5">
        <v>760</v>
      </c>
      <c r="I759" s="5" cm="1">
        <f t="array" aca="1" ref="I759" ca="1">INDIRECT("Dienste!D"&amp;H759)</f>
        <v>0</v>
      </c>
    </row>
    <row r="760" spans="8:9">
      <c r="H760" s="5">
        <v>761</v>
      </c>
      <c r="I760" s="5" cm="1">
        <f t="array" aca="1" ref="I760" ca="1">INDIRECT("Dienste!D"&amp;H760)</f>
        <v>0</v>
      </c>
    </row>
    <row r="761" spans="8:9">
      <c r="H761" s="5">
        <v>762</v>
      </c>
      <c r="I761" s="5" cm="1">
        <f t="array" aca="1" ref="I761" ca="1">INDIRECT("Dienste!D"&amp;H761)</f>
        <v>0</v>
      </c>
    </row>
    <row r="762" spans="8:9">
      <c r="H762" s="5">
        <v>763</v>
      </c>
      <c r="I762" s="5" cm="1">
        <f t="array" aca="1" ref="I762" ca="1">INDIRECT("Dienste!D"&amp;H762)</f>
        <v>0</v>
      </c>
    </row>
    <row r="763" spans="8:9">
      <c r="H763" s="5">
        <v>764</v>
      </c>
      <c r="I763" s="5" cm="1">
        <f t="array" aca="1" ref="I763" ca="1">INDIRECT("Dienste!D"&amp;H763)</f>
        <v>0</v>
      </c>
    </row>
    <row r="764" spans="8:9">
      <c r="H764" s="5">
        <v>765</v>
      </c>
      <c r="I764" s="5" cm="1">
        <f t="array" aca="1" ref="I764" ca="1">INDIRECT("Dienste!D"&amp;H764)</f>
        <v>0</v>
      </c>
    </row>
    <row r="765" spans="8:9">
      <c r="H765" s="5">
        <v>766</v>
      </c>
      <c r="I765" s="5" cm="1">
        <f t="array" aca="1" ref="I765" ca="1">INDIRECT("Dienste!D"&amp;H765)</f>
        <v>0</v>
      </c>
    </row>
    <row r="766" spans="8:9">
      <c r="H766" s="5">
        <v>767</v>
      </c>
      <c r="I766" s="5" cm="1">
        <f t="array" aca="1" ref="I766" ca="1">INDIRECT("Dienste!D"&amp;H766)</f>
        <v>0</v>
      </c>
    </row>
    <row r="767" spans="8:9">
      <c r="H767" s="5">
        <v>768</v>
      </c>
      <c r="I767" s="5" cm="1">
        <f t="array" aca="1" ref="I767" ca="1">INDIRECT("Dienste!D"&amp;H767)</f>
        <v>0</v>
      </c>
    </row>
    <row r="768" spans="8:9">
      <c r="H768" s="5">
        <v>769</v>
      </c>
      <c r="I768" s="5" cm="1">
        <f t="array" aca="1" ref="I768" ca="1">INDIRECT("Dienste!D"&amp;H768)</f>
        <v>0</v>
      </c>
    </row>
    <row r="769" spans="8:9">
      <c r="H769" s="5">
        <v>770</v>
      </c>
      <c r="I769" s="5" cm="1">
        <f t="array" aca="1" ref="I769" ca="1">INDIRECT("Dienste!D"&amp;H769)</f>
        <v>0</v>
      </c>
    </row>
    <row r="770" spans="8:9">
      <c r="H770" s="5">
        <v>771</v>
      </c>
      <c r="I770" s="5" cm="1">
        <f t="array" aca="1" ref="I770" ca="1">INDIRECT("Dienste!D"&amp;H770)</f>
        <v>0</v>
      </c>
    </row>
    <row r="771" spans="8:9">
      <c r="H771" s="5">
        <v>772</v>
      </c>
      <c r="I771" s="5" cm="1">
        <f t="array" aca="1" ref="I771" ca="1">INDIRECT("Dienste!D"&amp;H771)</f>
        <v>0</v>
      </c>
    </row>
    <row r="772" spans="8:9">
      <c r="H772" s="5">
        <v>773</v>
      </c>
      <c r="I772" s="5" cm="1">
        <f t="array" aca="1" ref="I772" ca="1">INDIRECT("Dienste!D"&amp;H772)</f>
        <v>0</v>
      </c>
    </row>
    <row r="773" spans="8:9">
      <c r="H773" s="5">
        <v>774</v>
      </c>
      <c r="I773" s="5" cm="1">
        <f t="array" aca="1" ref="I773" ca="1">INDIRECT("Dienste!D"&amp;H773)</f>
        <v>0</v>
      </c>
    </row>
    <row r="774" spans="8:9">
      <c r="H774" s="5">
        <v>775</v>
      </c>
      <c r="I774" s="5" cm="1">
        <f t="array" aca="1" ref="I774" ca="1">INDIRECT("Dienste!D"&amp;H774)</f>
        <v>0</v>
      </c>
    </row>
    <row r="775" spans="8:9">
      <c r="H775" s="5">
        <v>776</v>
      </c>
      <c r="I775" s="5" cm="1">
        <f t="array" aca="1" ref="I775" ca="1">INDIRECT("Dienste!D"&amp;H775)</f>
        <v>0</v>
      </c>
    </row>
    <row r="776" spans="8:9">
      <c r="H776" s="5">
        <v>777</v>
      </c>
      <c r="I776" s="5" cm="1">
        <f t="array" aca="1" ref="I776" ca="1">INDIRECT("Dienste!D"&amp;H776)</f>
        <v>0</v>
      </c>
    </row>
    <row r="777" spans="8:9">
      <c r="H777" s="5">
        <v>778</v>
      </c>
      <c r="I777" s="5" cm="1">
        <f t="array" aca="1" ref="I777" ca="1">INDIRECT("Dienste!D"&amp;H777)</f>
        <v>0</v>
      </c>
    </row>
    <row r="778" spans="8:9">
      <c r="H778" s="5">
        <v>779</v>
      </c>
      <c r="I778" s="5" cm="1">
        <f t="array" aca="1" ref="I778" ca="1">INDIRECT("Dienste!D"&amp;H778)</f>
        <v>0</v>
      </c>
    </row>
    <row r="779" spans="8:9">
      <c r="H779" s="5">
        <v>780</v>
      </c>
      <c r="I779" s="5" cm="1">
        <f t="array" aca="1" ref="I779" ca="1">INDIRECT("Dienste!D"&amp;H779)</f>
        <v>0</v>
      </c>
    </row>
    <row r="780" spans="8:9">
      <c r="H780" s="5">
        <v>781</v>
      </c>
      <c r="I780" s="5" cm="1">
        <f t="array" aca="1" ref="I780" ca="1">INDIRECT("Dienste!D"&amp;H780)</f>
        <v>0</v>
      </c>
    </row>
    <row r="781" spans="8:9">
      <c r="H781" s="5">
        <v>782</v>
      </c>
      <c r="I781" s="5" cm="1">
        <f t="array" aca="1" ref="I781" ca="1">INDIRECT("Dienste!D"&amp;H781)</f>
        <v>0</v>
      </c>
    </row>
    <row r="782" spans="8:9">
      <c r="H782" s="5">
        <v>783</v>
      </c>
      <c r="I782" s="5" cm="1">
        <f t="array" aca="1" ref="I782" ca="1">INDIRECT("Dienste!D"&amp;H782)</f>
        <v>0</v>
      </c>
    </row>
    <row r="783" spans="8:9">
      <c r="H783" s="5">
        <v>784</v>
      </c>
      <c r="I783" s="5" cm="1">
        <f t="array" aca="1" ref="I783" ca="1">INDIRECT("Dienste!D"&amp;H783)</f>
        <v>0</v>
      </c>
    </row>
    <row r="784" spans="8:9">
      <c r="H784" s="5">
        <v>785</v>
      </c>
      <c r="I784" s="5" cm="1">
        <f t="array" aca="1" ref="I784" ca="1">INDIRECT("Dienste!D"&amp;H784)</f>
        <v>0</v>
      </c>
    </row>
    <row r="785" spans="8:9">
      <c r="H785" s="5">
        <v>786</v>
      </c>
      <c r="I785" s="5" cm="1">
        <f t="array" aca="1" ref="I785" ca="1">INDIRECT("Dienste!D"&amp;H785)</f>
        <v>0</v>
      </c>
    </row>
    <row r="786" spans="8:9">
      <c r="H786" s="5">
        <v>787</v>
      </c>
      <c r="I786" s="5" cm="1">
        <f t="array" aca="1" ref="I786" ca="1">INDIRECT("Dienste!D"&amp;H786)</f>
        <v>0</v>
      </c>
    </row>
    <row r="787" spans="8:9">
      <c r="H787" s="5">
        <v>788</v>
      </c>
      <c r="I787" s="5" cm="1">
        <f t="array" aca="1" ref="I787" ca="1">INDIRECT("Dienste!D"&amp;H787)</f>
        <v>0</v>
      </c>
    </row>
    <row r="788" spans="8:9">
      <c r="H788" s="5">
        <v>789</v>
      </c>
      <c r="I788" s="5" cm="1">
        <f t="array" aca="1" ref="I788" ca="1">INDIRECT("Dienste!D"&amp;H788)</f>
        <v>0</v>
      </c>
    </row>
    <row r="789" spans="8:9">
      <c r="H789" s="5">
        <v>790</v>
      </c>
      <c r="I789" s="5" cm="1">
        <f t="array" aca="1" ref="I789" ca="1">INDIRECT("Dienste!D"&amp;H789)</f>
        <v>0</v>
      </c>
    </row>
    <row r="790" spans="8:9">
      <c r="H790" s="5">
        <v>791</v>
      </c>
      <c r="I790" s="5" cm="1">
        <f t="array" aca="1" ref="I790" ca="1">INDIRECT("Dienste!D"&amp;H790)</f>
        <v>0</v>
      </c>
    </row>
    <row r="791" spans="8:9">
      <c r="H791" s="5">
        <v>792</v>
      </c>
      <c r="I791" s="5" cm="1">
        <f t="array" aca="1" ref="I791" ca="1">INDIRECT("Dienste!D"&amp;H791)</f>
        <v>0</v>
      </c>
    </row>
    <row r="792" spans="8:9">
      <c r="H792" s="5">
        <v>793</v>
      </c>
      <c r="I792" s="5" cm="1">
        <f t="array" aca="1" ref="I792" ca="1">INDIRECT("Dienste!D"&amp;H792)</f>
        <v>0</v>
      </c>
    </row>
    <row r="793" spans="8:9">
      <c r="H793" s="5">
        <v>794</v>
      </c>
      <c r="I793" s="5" cm="1">
        <f t="array" aca="1" ref="I793" ca="1">INDIRECT("Dienste!D"&amp;H793)</f>
        <v>0</v>
      </c>
    </row>
    <row r="794" spans="8:9">
      <c r="H794" s="5">
        <v>795</v>
      </c>
      <c r="I794" s="5" cm="1">
        <f t="array" aca="1" ref="I794" ca="1">INDIRECT("Dienste!D"&amp;H794)</f>
        <v>0</v>
      </c>
    </row>
    <row r="795" spans="8:9">
      <c r="H795" s="5">
        <v>796</v>
      </c>
      <c r="I795" s="5" cm="1">
        <f t="array" aca="1" ref="I795" ca="1">INDIRECT("Dienste!D"&amp;H795)</f>
        <v>0</v>
      </c>
    </row>
    <row r="796" spans="8:9">
      <c r="H796" s="5">
        <v>797</v>
      </c>
      <c r="I796" s="5" cm="1">
        <f t="array" aca="1" ref="I796" ca="1">INDIRECT("Dienste!D"&amp;H796)</f>
        <v>0</v>
      </c>
    </row>
    <row r="797" spans="8:9">
      <c r="H797" s="5">
        <v>798</v>
      </c>
      <c r="I797" s="5" cm="1">
        <f t="array" aca="1" ref="I797" ca="1">INDIRECT("Dienste!D"&amp;H797)</f>
        <v>0</v>
      </c>
    </row>
    <row r="798" spans="8:9">
      <c r="H798" s="5">
        <v>799</v>
      </c>
      <c r="I798" s="5" cm="1">
        <f t="array" aca="1" ref="I798" ca="1">INDIRECT("Dienste!D"&amp;H798)</f>
        <v>0</v>
      </c>
    </row>
    <row r="799" spans="8:9">
      <c r="H799" s="5">
        <v>800</v>
      </c>
      <c r="I799" s="5" cm="1">
        <f t="array" aca="1" ref="I799" ca="1">INDIRECT("Dienste!D"&amp;H799)</f>
        <v>0</v>
      </c>
    </row>
    <row r="800" spans="8:9">
      <c r="H800" s="5">
        <v>801</v>
      </c>
      <c r="I800" s="5" cm="1">
        <f t="array" aca="1" ref="I800" ca="1">INDIRECT("Dienste!D"&amp;H800)</f>
        <v>0</v>
      </c>
    </row>
    <row r="801" spans="8:9">
      <c r="H801" s="5">
        <v>802</v>
      </c>
      <c r="I801" s="5" cm="1">
        <f t="array" aca="1" ref="I801" ca="1">INDIRECT("Dienste!D"&amp;H801)</f>
        <v>0</v>
      </c>
    </row>
    <row r="802" spans="8:9">
      <c r="H802" s="5">
        <v>803</v>
      </c>
      <c r="I802" s="5" cm="1">
        <f t="array" aca="1" ref="I802" ca="1">INDIRECT("Dienste!D"&amp;H802)</f>
        <v>0</v>
      </c>
    </row>
    <row r="803" spans="8:9">
      <c r="H803" s="5">
        <v>804</v>
      </c>
      <c r="I803" s="5" cm="1">
        <f t="array" aca="1" ref="I803" ca="1">INDIRECT("Dienste!D"&amp;H803)</f>
        <v>0</v>
      </c>
    </row>
    <row r="804" spans="8:9">
      <c r="H804" s="5">
        <v>805</v>
      </c>
      <c r="I804" s="5" cm="1">
        <f t="array" aca="1" ref="I804" ca="1">INDIRECT("Dienste!D"&amp;H804)</f>
        <v>0</v>
      </c>
    </row>
    <row r="805" spans="8:9">
      <c r="H805" s="5">
        <v>806</v>
      </c>
      <c r="I805" s="5" cm="1">
        <f t="array" aca="1" ref="I805" ca="1">INDIRECT("Dienste!D"&amp;H805)</f>
        <v>0</v>
      </c>
    </row>
    <row r="806" spans="8:9">
      <c r="H806" s="5">
        <v>807</v>
      </c>
      <c r="I806" s="5" cm="1">
        <f t="array" aca="1" ref="I806" ca="1">INDIRECT("Dienste!D"&amp;H806)</f>
        <v>0</v>
      </c>
    </row>
    <row r="807" spans="8:9">
      <c r="H807" s="5">
        <v>808</v>
      </c>
      <c r="I807" s="5" cm="1">
        <f t="array" aca="1" ref="I807" ca="1">INDIRECT("Dienste!D"&amp;H807)</f>
        <v>0</v>
      </c>
    </row>
    <row r="808" spans="8:9">
      <c r="H808" s="5">
        <v>809</v>
      </c>
      <c r="I808" s="5" cm="1">
        <f t="array" aca="1" ref="I808" ca="1">INDIRECT("Dienste!D"&amp;H808)</f>
        <v>0</v>
      </c>
    </row>
    <row r="809" spans="8:9">
      <c r="H809" s="5">
        <v>810</v>
      </c>
      <c r="I809" s="5" cm="1">
        <f t="array" aca="1" ref="I809" ca="1">INDIRECT("Dienste!D"&amp;H809)</f>
        <v>0</v>
      </c>
    </row>
    <row r="810" spans="8:9">
      <c r="H810" s="5">
        <v>811</v>
      </c>
      <c r="I810" s="5" cm="1">
        <f t="array" aca="1" ref="I810" ca="1">INDIRECT("Dienste!D"&amp;H810)</f>
        <v>0</v>
      </c>
    </row>
    <row r="811" spans="8:9">
      <c r="H811" s="5">
        <v>812</v>
      </c>
      <c r="I811" s="5" cm="1">
        <f t="array" aca="1" ref="I811" ca="1">INDIRECT("Dienste!D"&amp;H811)</f>
        <v>0</v>
      </c>
    </row>
    <row r="812" spans="8:9">
      <c r="H812" s="5">
        <v>813</v>
      </c>
      <c r="I812" s="5" cm="1">
        <f t="array" aca="1" ref="I812" ca="1">INDIRECT("Dienste!D"&amp;H812)</f>
        <v>0</v>
      </c>
    </row>
    <row r="813" spans="8:9">
      <c r="H813" s="5">
        <v>814</v>
      </c>
      <c r="I813" s="5" cm="1">
        <f t="array" aca="1" ref="I813" ca="1">INDIRECT("Dienste!D"&amp;H813)</f>
        <v>0</v>
      </c>
    </row>
    <row r="814" spans="8:9">
      <c r="H814" s="5">
        <v>815</v>
      </c>
      <c r="I814" s="5" cm="1">
        <f t="array" aca="1" ref="I814" ca="1">INDIRECT("Dienste!D"&amp;H814)</f>
        <v>0</v>
      </c>
    </row>
    <row r="815" spans="8:9">
      <c r="H815" s="5">
        <v>816</v>
      </c>
      <c r="I815" s="5" cm="1">
        <f t="array" aca="1" ref="I815" ca="1">INDIRECT("Dienste!D"&amp;H815)</f>
        <v>0</v>
      </c>
    </row>
    <row r="816" spans="8:9">
      <c r="H816" s="5">
        <v>817</v>
      </c>
      <c r="I816" s="5" cm="1">
        <f t="array" aca="1" ref="I816" ca="1">INDIRECT("Dienste!D"&amp;H816)</f>
        <v>0</v>
      </c>
    </row>
    <row r="817" spans="8:9">
      <c r="H817" s="5">
        <v>818</v>
      </c>
      <c r="I817" s="5" cm="1">
        <f t="array" aca="1" ref="I817" ca="1">INDIRECT("Dienste!D"&amp;H817)</f>
        <v>0</v>
      </c>
    </row>
    <row r="818" spans="8:9">
      <c r="H818" s="5">
        <v>819</v>
      </c>
      <c r="I818" s="5" cm="1">
        <f t="array" aca="1" ref="I818" ca="1">INDIRECT("Dienste!D"&amp;H818)</f>
        <v>0</v>
      </c>
    </row>
    <row r="819" spans="8:9">
      <c r="H819" s="5">
        <v>820</v>
      </c>
      <c r="I819" s="5" cm="1">
        <f t="array" aca="1" ref="I819" ca="1">INDIRECT("Dienste!D"&amp;H819)</f>
        <v>0</v>
      </c>
    </row>
    <row r="820" spans="8:9">
      <c r="H820" s="5">
        <v>821</v>
      </c>
      <c r="I820" s="5" cm="1">
        <f t="array" aca="1" ref="I820" ca="1">INDIRECT("Dienste!D"&amp;H820)</f>
        <v>0</v>
      </c>
    </row>
    <row r="821" spans="8:9">
      <c r="H821" s="5">
        <v>822</v>
      </c>
      <c r="I821" s="5" cm="1">
        <f t="array" aca="1" ref="I821" ca="1">INDIRECT("Dienste!D"&amp;H821)</f>
        <v>0</v>
      </c>
    </row>
    <row r="822" spans="8:9">
      <c r="H822" s="5">
        <v>823</v>
      </c>
      <c r="I822" s="5" cm="1">
        <f t="array" aca="1" ref="I822" ca="1">INDIRECT("Dienste!D"&amp;H822)</f>
        <v>0</v>
      </c>
    </row>
    <row r="823" spans="8:9">
      <c r="H823" s="5">
        <v>824</v>
      </c>
      <c r="I823" s="5" cm="1">
        <f t="array" aca="1" ref="I823" ca="1">INDIRECT("Dienste!D"&amp;H823)</f>
        <v>0</v>
      </c>
    </row>
    <row r="824" spans="8:9">
      <c r="H824" s="5">
        <v>825</v>
      </c>
      <c r="I824" s="5" cm="1">
        <f t="array" aca="1" ref="I824" ca="1">INDIRECT("Dienste!D"&amp;H824)</f>
        <v>0</v>
      </c>
    </row>
    <row r="825" spans="8:9">
      <c r="H825" s="5">
        <v>826</v>
      </c>
      <c r="I825" s="5" cm="1">
        <f t="array" aca="1" ref="I825" ca="1">INDIRECT("Dienste!D"&amp;H825)</f>
        <v>0</v>
      </c>
    </row>
    <row r="826" spans="8:9">
      <c r="H826" s="5">
        <v>827</v>
      </c>
      <c r="I826" s="5" cm="1">
        <f t="array" aca="1" ref="I826" ca="1">INDIRECT("Dienste!D"&amp;H826)</f>
        <v>0</v>
      </c>
    </row>
    <row r="827" spans="8:9">
      <c r="H827" s="5">
        <v>828</v>
      </c>
      <c r="I827" s="5" cm="1">
        <f t="array" aca="1" ref="I827" ca="1">INDIRECT("Dienste!D"&amp;H827)</f>
        <v>0</v>
      </c>
    </row>
    <row r="828" spans="8:9">
      <c r="H828" s="5">
        <v>829</v>
      </c>
      <c r="I828" s="5" cm="1">
        <f t="array" aca="1" ref="I828" ca="1">INDIRECT("Dienste!D"&amp;H828)</f>
        <v>0</v>
      </c>
    </row>
    <row r="829" spans="8:9">
      <c r="H829" s="5">
        <v>830</v>
      </c>
      <c r="I829" s="5" cm="1">
        <f t="array" aca="1" ref="I829" ca="1">INDIRECT("Dienste!D"&amp;H829)</f>
        <v>0</v>
      </c>
    </row>
    <row r="830" spans="8:9">
      <c r="H830" s="5">
        <v>831</v>
      </c>
      <c r="I830" s="5" cm="1">
        <f t="array" aca="1" ref="I830" ca="1">INDIRECT("Dienste!D"&amp;H830)</f>
        <v>0</v>
      </c>
    </row>
    <row r="831" spans="8:9">
      <c r="H831" s="5">
        <v>832</v>
      </c>
      <c r="I831" s="5" cm="1">
        <f t="array" aca="1" ref="I831" ca="1">INDIRECT("Dienste!D"&amp;H831)</f>
        <v>0</v>
      </c>
    </row>
    <row r="832" spans="8:9">
      <c r="H832" s="5">
        <v>833</v>
      </c>
      <c r="I832" s="5" cm="1">
        <f t="array" aca="1" ref="I832" ca="1">INDIRECT("Dienste!D"&amp;H832)</f>
        <v>0</v>
      </c>
    </row>
    <row r="833" spans="8:9">
      <c r="H833" s="5">
        <v>834</v>
      </c>
      <c r="I833" s="5" cm="1">
        <f t="array" aca="1" ref="I833" ca="1">INDIRECT("Dienste!D"&amp;H833)</f>
        <v>0</v>
      </c>
    </row>
    <row r="834" spans="8:9">
      <c r="H834" s="5">
        <v>835</v>
      </c>
      <c r="I834" s="5" cm="1">
        <f t="array" aca="1" ref="I834" ca="1">INDIRECT("Dienste!D"&amp;H834)</f>
        <v>0</v>
      </c>
    </row>
    <row r="835" spans="8:9">
      <c r="H835" s="5">
        <v>836</v>
      </c>
      <c r="I835" s="5" cm="1">
        <f t="array" aca="1" ref="I835" ca="1">INDIRECT("Dienste!D"&amp;H835)</f>
        <v>0</v>
      </c>
    </row>
    <row r="836" spans="8:9">
      <c r="H836" s="5">
        <v>837</v>
      </c>
      <c r="I836" s="5" cm="1">
        <f t="array" aca="1" ref="I836" ca="1">INDIRECT("Dienste!D"&amp;H836)</f>
        <v>0</v>
      </c>
    </row>
    <row r="837" spans="8:9">
      <c r="H837" s="5">
        <v>838</v>
      </c>
      <c r="I837" s="5" cm="1">
        <f t="array" aca="1" ref="I837" ca="1">INDIRECT("Dienste!D"&amp;H837)</f>
        <v>0</v>
      </c>
    </row>
    <row r="838" spans="8:9">
      <c r="H838" s="5">
        <v>839</v>
      </c>
      <c r="I838" s="5" cm="1">
        <f t="array" aca="1" ref="I838" ca="1">INDIRECT("Dienste!D"&amp;H838)</f>
        <v>0</v>
      </c>
    </row>
    <row r="839" spans="8:9">
      <c r="H839" s="5">
        <v>840</v>
      </c>
      <c r="I839" s="5" cm="1">
        <f t="array" aca="1" ref="I839" ca="1">INDIRECT("Dienste!D"&amp;H839)</f>
        <v>0</v>
      </c>
    </row>
    <row r="840" spans="8:9">
      <c r="H840" s="5">
        <v>841</v>
      </c>
      <c r="I840" s="5" cm="1">
        <f t="array" aca="1" ref="I840" ca="1">INDIRECT("Dienste!D"&amp;H840)</f>
        <v>0</v>
      </c>
    </row>
    <row r="841" spans="8:9">
      <c r="H841" s="5">
        <v>842</v>
      </c>
      <c r="I841" s="5" cm="1">
        <f t="array" aca="1" ref="I841" ca="1">INDIRECT("Dienste!D"&amp;H841)</f>
        <v>0</v>
      </c>
    </row>
    <row r="842" spans="8:9">
      <c r="H842" s="5">
        <v>843</v>
      </c>
      <c r="I842" s="5" cm="1">
        <f t="array" aca="1" ref="I842" ca="1">INDIRECT("Dienste!D"&amp;H842)</f>
        <v>0</v>
      </c>
    </row>
    <row r="843" spans="8:9">
      <c r="H843" s="5">
        <v>844</v>
      </c>
      <c r="I843" s="5" cm="1">
        <f t="array" aca="1" ref="I843" ca="1">INDIRECT("Dienste!D"&amp;H843)</f>
        <v>0</v>
      </c>
    </row>
    <row r="844" spans="8:9">
      <c r="H844" s="5">
        <v>845</v>
      </c>
      <c r="I844" s="5" cm="1">
        <f t="array" aca="1" ref="I844" ca="1">INDIRECT("Dienste!D"&amp;H844)</f>
        <v>0</v>
      </c>
    </row>
    <row r="845" spans="8:9">
      <c r="H845" s="5">
        <v>846</v>
      </c>
      <c r="I845" s="5" cm="1">
        <f t="array" aca="1" ref="I845" ca="1">INDIRECT("Dienste!D"&amp;H845)</f>
        <v>0</v>
      </c>
    </row>
    <row r="846" spans="8:9">
      <c r="H846" s="5">
        <v>847</v>
      </c>
      <c r="I846" s="5" cm="1">
        <f t="array" aca="1" ref="I846" ca="1">INDIRECT("Dienste!D"&amp;H846)</f>
        <v>0</v>
      </c>
    </row>
    <row r="847" spans="8:9">
      <c r="H847" s="5">
        <v>848</v>
      </c>
      <c r="I847" s="5" cm="1">
        <f t="array" aca="1" ref="I847" ca="1">INDIRECT("Dienste!D"&amp;H847)</f>
        <v>0</v>
      </c>
    </row>
    <row r="848" spans="8:9">
      <c r="H848" s="5">
        <v>849</v>
      </c>
      <c r="I848" s="5" cm="1">
        <f t="array" aca="1" ref="I848" ca="1">INDIRECT("Dienste!D"&amp;H848)</f>
        <v>0</v>
      </c>
    </row>
    <row r="849" spans="8:9">
      <c r="H849" s="5">
        <v>850</v>
      </c>
      <c r="I849" s="5" cm="1">
        <f t="array" aca="1" ref="I849" ca="1">INDIRECT("Dienste!D"&amp;H849)</f>
        <v>0</v>
      </c>
    </row>
    <row r="850" spans="8:9">
      <c r="H850" s="5">
        <v>851</v>
      </c>
      <c r="I850" s="5" cm="1">
        <f t="array" aca="1" ref="I850" ca="1">INDIRECT("Dienste!D"&amp;H850)</f>
        <v>0</v>
      </c>
    </row>
    <row r="851" spans="8:9">
      <c r="H851" s="5">
        <v>852</v>
      </c>
      <c r="I851" s="5" cm="1">
        <f t="array" aca="1" ref="I851" ca="1">INDIRECT("Dienste!D"&amp;H851)</f>
        <v>0</v>
      </c>
    </row>
    <row r="852" spans="8:9">
      <c r="H852" s="5">
        <v>853</v>
      </c>
      <c r="I852" s="5" cm="1">
        <f t="array" aca="1" ref="I852" ca="1">INDIRECT("Dienste!D"&amp;H852)</f>
        <v>0</v>
      </c>
    </row>
    <row r="853" spans="8:9">
      <c r="H853" s="5">
        <v>854</v>
      </c>
      <c r="I853" s="5" cm="1">
        <f t="array" aca="1" ref="I853" ca="1">INDIRECT("Dienste!D"&amp;H853)</f>
        <v>0</v>
      </c>
    </row>
    <row r="854" spans="8:9">
      <c r="H854" s="5">
        <v>855</v>
      </c>
      <c r="I854" s="5" cm="1">
        <f t="array" aca="1" ref="I854" ca="1">INDIRECT("Dienste!D"&amp;H854)</f>
        <v>0</v>
      </c>
    </row>
    <row r="855" spans="8:9">
      <c r="H855" s="5">
        <v>856</v>
      </c>
      <c r="I855" s="5" cm="1">
        <f t="array" aca="1" ref="I855" ca="1">INDIRECT("Dienste!D"&amp;H855)</f>
        <v>0</v>
      </c>
    </row>
    <row r="856" spans="8:9">
      <c r="H856" s="5">
        <v>857</v>
      </c>
      <c r="I856" s="5" cm="1">
        <f t="array" aca="1" ref="I856" ca="1">INDIRECT("Dienste!D"&amp;H856)</f>
        <v>0</v>
      </c>
    </row>
    <row r="857" spans="8:9">
      <c r="H857" s="5">
        <v>858</v>
      </c>
      <c r="I857" s="5" cm="1">
        <f t="array" aca="1" ref="I857" ca="1">INDIRECT("Dienste!D"&amp;H857)</f>
        <v>0</v>
      </c>
    </row>
    <row r="858" spans="8:9">
      <c r="H858" s="5">
        <v>859</v>
      </c>
      <c r="I858" s="5" cm="1">
        <f t="array" aca="1" ref="I858" ca="1">INDIRECT("Dienste!D"&amp;H858)</f>
        <v>0</v>
      </c>
    </row>
    <row r="859" spans="8:9">
      <c r="H859" s="5">
        <v>860</v>
      </c>
      <c r="I859" s="5" cm="1">
        <f t="array" aca="1" ref="I859" ca="1">INDIRECT("Dienste!D"&amp;H859)</f>
        <v>0</v>
      </c>
    </row>
    <row r="860" spans="8:9">
      <c r="H860" s="5">
        <v>861</v>
      </c>
      <c r="I860" s="5" cm="1">
        <f t="array" aca="1" ref="I860" ca="1">INDIRECT("Dienste!D"&amp;H860)</f>
        <v>0</v>
      </c>
    </row>
    <row r="861" spans="8:9">
      <c r="H861" s="5">
        <v>862</v>
      </c>
      <c r="I861" s="5" cm="1">
        <f t="array" aca="1" ref="I861" ca="1">INDIRECT("Dienste!D"&amp;H861)</f>
        <v>0</v>
      </c>
    </row>
    <row r="862" spans="8:9">
      <c r="H862" s="5">
        <v>863</v>
      </c>
      <c r="I862" s="5" cm="1">
        <f t="array" aca="1" ref="I862" ca="1">INDIRECT("Dienste!D"&amp;H862)</f>
        <v>0</v>
      </c>
    </row>
    <row r="863" spans="8:9">
      <c r="H863" s="5">
        <v>864</v>
      </c>
      <c r="I863" s="5" cm="1">
        <f t="array" aca="1" ref="I863" ca="1">INDIRECT("Dienste!D"&amp;H863)</f>
        <v>0</v>
      </c>
    </row>
    <row r="864" spans="8:9">
      <c r="H864" s="5">
        <v>865</v>
      </c>
      <c r="I864" s="5" cm="1">
        <f t="array" aca="1" ref="I864" ca="1">INDIRECT("Dienste!D"&amp;H864)</f>
        <v>0</v>
      </c>
    </row>
    <row r="865" spans="8:9">
      <c r="H865" s="5">
        <v>866</v>
      </c>
      <c r="I865" s="5" cm="1">
        <f t="array" aca="1" ref="I865" ca="1">INDIRECT("Dienste!D"&amp;H865)</f>
        <v>0</v>
      </c>
    </row>
    <row r="866" spans="8:9">
      <c r="H866" s="5">
        <v>867</v>
      </c>
      <c r="I866" s="5" cm="1">
        <f t="array" aca="1" ref="I866" ca="1">INDIRECT("Dienste!D"&amp;H866)</f>
        <v>0</v>
      </c>
    </row>
    <row r="867" spans="8:9">
      <c r="H867" s="5">
        <v>868</v>
      </c>
      <c r="I867" s="5" cm="1">
        <f t="array" aca="1" ref="I867" ca="1">INDIRECT("Dienste!D"&amp;H867)</f>
        <v>0</v>
      </c>
    </row>
    <row r="868" spans="8:9">
      <c r="H868" s="5">
        <v>869</v>
      </c>
      <c r="I868" s="5" cm="1">
        <f t="array" aca="1" ref="I868" ca="1">INDIRECT("Dienste!D"&amp;H868)</f>
        <v>0</v>
      </c>
    </row>
    <row r="869" spans="8:9">
      <c r="H869" s="5">
        <v>870</v>
      </c>
      <c r="I869" s="5" cm="1">
        <f t="array" aca="1" ref="I869" ca="1">INDIRECT("Dienste!D"&amp;H869)</f>
        <v>0</v>
      </c>
    </row>
    <row r="870" spans="8:9">
      <c r="H870" s="5">
        <v>871</v>
      </c>
      <c r="I870" s="5" cm="1">
        <f t="array" aca="1" ref="I870" ca="1">INDIRECT("Dienste!D"&amp;H870)</f>
        <v>0</v>
      </c>
    </row>
    <row r="871" spans="8:9">
      <c r="H871" s="5">
        <v>872</v>
      </c>
      <c r="I871" s="5" cm="1">
        <f t="array" aca="1" ref="I871" ca="1">INDIRECT("Dienste!D"&amp;H871)</f>
        <v>0</v>
      </c>
    </row>
    <row r="872" spans="8:9">
      <c r="H872" s="5">
        <v>873</v>
      </c>
      <c r="I872" s="5" cm="1">
        <f t="array" aca="1" ref="I872" ca="1">INDIRECT("Dienste!D"&amp;H872)</f>
        <v>0</v>
      </c>
    </row>
    <row r="873" spans="8:9">
      <c r="H873" s="5">
        <v>874</v>
      </c>
      <c r="I873" s="5" cm="1">
        <f t="array" aca="1" ref="I873" ca="1">INDIRECT("Dienste!D"&amp;H873)</f>
        <v>0</v>
      </c>
    </row>
    <row r="874" spans="8:9">
      <c r="H874" s="5">
        <v>875</v>
      </c>
      <c r="I874" s="5" cm="1">
        <f t="array" aca="1" ref="I874" ca="1">INDIRECT("Dienste!D"&amp;H874)</f>
        <v>0</v>
      </c>
    </row>
    <row r="875" spans="8:9">
      <c r="H875" s="5">
        <v>876</v>
      </c>
      <c r="I875" s="5" cm="1">
        <f t="array" aca="1" ref="I875" ca="1">INDIRECT("Dienste!D"&amp;H875)</f>
        <v>0</v>
      </c>
    </row>
    <row r="876" spans="8:9">
      <c r="H876" s="5">
        <v>877</v>
      </c>
      <c r="I876" s="5" cm="1">
        <f t="array" aca="1" ref="I876" ca="1">INDIRECT("Dienste!D"&amp;H876)</f>
        <v>0</v>
      </c>
    </row>
    <row r="877" spans="8:9">
      <c r="H877" s="5">
        <v>878</v>
      </c>
      <c r="I877" s="5" cm="1">
        <f t="array" aca="1" ref="I877" ca="1">INDIRECT("Dienste!D"&amp;H877)</f>
        <v>0</v>
      </c>
    </row>
    <row r="878" spans="8:9">
      <c r="H878" s="5">
        <v>879</v>
      </c>
      <c r="I878" s="5" cm="1">
        <f t="array" aca="1" ref="I878" ca="1">INDIRECT("Dienste!D"&amp;H878)</f>
        <v>0</v>
      </c>
    </row>
    <row r="879" spans="8:9">
      <c r="H879" s="5">
        <v>880</v>
      </c>
      <c r="I879" s="5" cm="1">
        <f t="array" aca="1" ref="I879" ca="1">INDIRECT("Dienste!D"&amp;H879)</f>
        <v>0</v>
      </c>
    </row>
    <row r="880" spans="8:9">
      <c r="H880" s="5">
        <v>881</v>
      </c>
      <c r="I880" s="5" cm="1">
        <f t="array" aca="1" ref="I880" ca="1">INDIRECT("Dienste!D"&amp;H880)</f>
        <v>0</v>
      </c>
    </row>
    <row r="881" spans="8:9">
      <c r="H881" s="5">
        <v>882</v>
      </c>
      <c r="I881" s="5" cm="1">
        <f t="array" aca="1" ref="I881" ca="1">INDIRECT("Dienste!D"&amp;H881)</f>
        <v>0</v>
      </c>
    </row>
    <row r="882" spans="8:9">
      <c r="H882" s="5">
        <v>883</v>
      </c>
      <c r="I882" s="5" cm="1">
        <f t="array" aca="1" ref="I882" ca="1">INDIRECT("Dienste!D"&amp;H882)</f>
        <v>0</v>
      </c>
    </row>
    <row r="883" spans="8:9">
      <c r="H883" s="5">
        <v>884</v>
      </c>
      <c r="I883" s="5" cm="1">
        <f t="array" aca="1" ref="I883" ca="1">INDIRECT("Dienste!D"&amp;H883)</f>
        <v>0</v>
      </c>
    </row>
    <row r="884" spans="8:9">
      <c r="H884" s="5">
        <v>885</v>
      </c>
      <c r="I884" s="5" cm="1">
        <f t="array" aca="1" ref="I884" ca="1">INDIRECT("Dienste!D"&amp;H884)</f>
        <v>0</v>
      </c>
    </row>
    <row r="885" spans="8:9">
      <c r="H885" s="5">
        <v>886</v>
      </c>
      <c r="I885" s="5" cm="1">
        <f t="array" aca="1" ref="I885" ca="1">INDIRECT("Dienste!D"&amp;H885)</f>
        <v>0</v>
      </c>
    </row>
    <row r="886" spans="8:9">
      <c r="H886" s="5">
        <v>887</v>
      </c>
      <c r="I886" s="5" cm="1">
        <f t="array" aca="1" ref="I886" ca="1">INDIRECT("Dienste!D"&amp;H886)</f>
        <v>0</v>
      </c>
    </row>
    <row r="887" spans="8:9">
      <c r="H887" s="5">
        <v>888</v>
      </c>
      <c r="I887" s="5" cm="1">
        <f t="array" aca="1" ref="I887" ca="1">INDIRECT("Dienste!D"&amp;H887)</f>
        <v>0</v>
      </c>
    </row>
    <row r="888" spans="8:9">
      <c r="H888" s="5">
        <v>889</v>
      </c>
      <c r="I888" s="5" cm="1">
        <f t="array" aca="1" ref="I888" ca="1">INDIRECT("Dienste!D"&amp;H888)</f>
        <v>0</v>
      </c>
    </row>
    <row r="889" spans="8:9">
      <c r="H889" s="5">
        <v>890</v>
      </c>
      <c r="I889" s="5" cm="1">
        <f t="array" aca="1" ref="I889" ca="1">INDIRECT("Dienste!D"&amp;H889)</f>
        <v>0</v>
      </c>
    </row>
    <row r="890" spans="8:9">
      <c r="H890" s="5">
        <v>891</v>
      </c>
      <c r="I890" s="5" cm="1">
        <f t="array" aca="1" ref="I890" ca="1">INDIRECT("Dienste!D"&amp;H890)</f>
        <v>0</v>
      </c>
    </row>
    <row r="891" spans="8:9">
      <c r="H891" s="5">
        <v>892</v>
      </c>
      <c r="I891" s="5" cm="1">
        <f t="array" aca="1" ref="I891" ca="1">INDIRECT("Dienste!D"&amp;H891)</f>
        <v>0</v>
      </c>
    </row>
    <row r="892" spans="8:9">
      <c r="H892" s="5">
        <v>893</v>
      </c>
      <c r="I892" s="5" cm="1">
        <f t="array" aca="1" ref="I892" ca="1">INDIRECT("Dienste!D"&amp;H892)</f>
        <v>0</v>
      </c>
    </row>
    <row r="893" spans="8:9">
      <c r="H893" s="5">
        <v>894</v>
      </c>
      <c r="I893" s="5" cm="1">
        <f t="array" aca="1" ref="I893" ca="1">INDIRECT("Dienste!D"&amp;H893)</f>
        <v>0</v>
      </c>
    </row>
    <row r="894" spans="8:9">
      <c r="H894" s="5">
        <v>895</v>
      </c>
      <c r="I894" s="5" cm="1">
        <f t="array" aca="1" ref="I894" ca="1">INDIRECT("Dienste!D"&amp;H894)</f>
        <v>0</v>
      </c>
    </row>
    <row r="895" spans="8:9">
      <c r="H895" s="5">
        <v>896</v>
      </c>
      <c r="I895" s="5" cm="1">
        <f t="array" aca="1" ref="I895" ca="1">INDIRECT("Dienste!D"&amp;H895)</f>
        <v>0</v>
      </c>
    </row>
    <row r="896" spans="8:9">
      <c r="H896" s="5">
        <v>897</v>
      </c>
      <c r="I896" s="5" cm="1">
        <f t="array" aca="1" ref="I896" ca="1">INDIRECT("Dienste!D"&amp;H896)</f>
        <v>0</v>
      </c>
    </row>
    <row r="897" spans="8:9">
      <c r="H897" s="5">
        <v>898</v>
      </c>
      <c r="I897" s="5" cm="1">
        <f t="array" aca="1" ref="I897" ca="1">INDIRECT("Dienste!D"&amp;H897)</f>
        <v>0</v>
      </c>
    </row>
    <row r="898" spans="8:9">
      <c r="H898" s="5">
        <v>899</v>
      </c>
      <c r="I898" s="5" cm="1">
        <f t="array" aca="1" ref="I898" ca="1">INDIRECT("Dienste!D"&amp;H898)</f>
        <v>0</v>
      </c>
    </row>
    <row r="899" spans="8:9">
      <c r="H899" s="5">
        <v>900</v>
      </c>
      <c r="I899" s="5" cm="1">
        <f t="array" aca="1" ref="I899" ca="1">INDIRECT("Dienste!D"&amp;H899)</f>
        <v>0</v>
      </c>
    </row>
    <row r="900" spans="8:9">
      <c r="H900" s="5">
        <v>901</v>
      </c>
      <c r="I900" s="5" cm="1">
        <f t="array" aca="1" ref="I900" ca="1">INDIRECT("Dienste!D"&amp;H900)</f>
        <v>0</v>
      </c>
    </row>
    <row r="901" spans="8:9">
      <c r="H901" s="5">
        <v>902</v>
      </c>
      <c r="I901" s="5" cm="1">
        <f t="array" aca="1" ref="I901" ca="1">INDIRECT("Dienste!D"&amp;H901)</f>
        <v>0</v>
      </c>
    </row>
    <row r="902" spans="8:9">
      <c r="H902" s="5">
        <v>903</v>
      </c>
      <c r="I902" s="5" cm="1">
        <f t="array" aca="1" ref="I902" ca="1">INDIRECT("Dienste!D"&amp;H902)</f>
        <v>0</v>
      </c>
    </row>
    <row r="903" spans="8:9">
      <c r="H903" s="5">
        <v>904</v>
      </c>
      <c r="I903" s="5" cm="1">
        <f t="array" aca="1" ref="I903" ca="1">INDIRECT("Dienste!D"&amp;H903)</f>
        <v>0</v>
      </c>
    </row>
    <row r="904" spans="8:9">
      <c r="H904" s="5">
        <v>905</v>
      </c>
      <c r="I904" s="5" cm="1">
        <f t="array" aca="1" ref="I904" ca="1">INDIRECT("Dienste!D"&amp;H904)</f>
        <v>0</v>
      </c>
    </row>
    <row r="905" spans="8:9">
      <c r="H905" s="5">
        <v>906</v>
      </c>
      <c r="I905" s="5" cm="1">
        <f t="array" aca="1" ref="I905" ca="1">INDIRECT("Dienste!D"&amp;H905)</f>
        <v>0</v>
      </c>
    </row>
    <row r="906" spans="8:9">
      <c r="H906" s="5">
        <v>907</v>
      </c>
      <c r="I906" s="5" cm="1">
        <f t="array" aca="1" ref="I906" ca="1">INDIRECT("Dienste!D"&amp;H906)</f>
        <v>0</v>
      </c>
    </row>
    <row r="907" spans="8:9">
      <c r="H907" s="5">
        <v>908</v>
      </c>
      <c r="I907" s="5" cm="1">
        <f t="array" aca="1" ref="I907" ca="1">INDIRECT("Dienste!D"&amp;H907)</f>
        <v>0</v>
      </c>
    </row>
    <row r="908" spans="8:9">
      <c r="H908" s="5">
        <v>909</v>
      </c>
      <c r="I908" s="5" cm="1">
        <f t="array" aca="1" ref="I908" ca="1">INDIRECT("Dienste!D"&amp;H908)</f>
        <v>0</v>
      </c>
    </row>
    <row r="909" spans="8:9">
      <c r="H909" s="5">
        <v>910</v>
      </c>
      <c r="I909" s="5" cm="1">
        <f t="array" aca="1" ref="I909" ca="1">INDIRECT("Dienste!D"&amp;H909)</f>
        <v>0</v>
      </c>
    </row>
    <row r="910" spans="8:9">
      <c r="H910" s="5">
        <v>911</v>
      </c>
      <c r="I910" s="5" cm="1">
        <f t="array" aca="1" ref="I910" ca="1">INDIRECT("Dienste!D"&amp;H910)</f>
        <v>0</v>
      </c>
    </row>
    <row r="911" spans="8:9">
      <c r="H911" s="5">
        <v>912</v>
      </c>
      <c r="I911" s="5" cm="1">
        <f t="array" aca="1" ref="I911" ca="1">INDIRECT("Dienste!D"&amp;H911)</f>
        <v>0</v>
      </c>
    </row>
    <row r="912" spans="8:9">
      <c r="H912" s="5">
        <v>913</v>
      </c>
      <c r="I912" s="5" cm="1">
        <f t="array" aca="1" ref="I912" ca="1">INDIRECT("Dienste!D"&amp;H912)</f>
        <v>0</v>
      </c>
    </row>
    <row r="913" spans="8:9">
      <c r="H913" s="5">
        <v>914</v>
      </c>
      <c r="I913" s="5" cm="1">
        <f t="array" aca="1" ref="I913" ca="1">INDIRECT("Dienste!D"&amp;H913)</f>
        <v>0</v>
      </c>
    </row>
    <row r="914" spans="8:9">
      <c r="H914" s="5">
        <v>915</v>
      </c>
      <c r="I914" s="5" cm="1">
        <f t="array" aca="1" ref="I914" ca="1">INDIRECT("Dienste!D"&amp;H914)</f>
        <v>0</v>
      </c>
    </row>
    <row r="915" spans="8:9">
      <c r="H915" s="5">
        <v>916</v>
      </c>
      <c r="I915" s="5" cm="1">
        <f t="array" aca="1" ref="I915" ca="1">INDIRECT("Dienste!D"&amp;H915)</f>
        <v>0</v>
      </c>
    </row>
    <row r="916" spans="8:9">
      <c r="H916" s="5">
        <v>917</v>
      </c>
      <c r="I916" s="5" cm="1">
        <f t="array" aca="1" ref="I916" ca="1">INDIRECT("Dienste!D"&amp;H916)</f>
        <v>0</v>
      </c>
    </row>
    <row r="917" spans="8:9">
      <c r="H917" s="5">
        <v>918</v>
      </c>
      <c r="I917" s="5" cm="1">
        <f t="array" aca="1" ref="I917" ca="1">INDIRECT("Dienste!D"&amp;H917)</f>
        <v>0</v>
      </c>
    </row>
    <row r="918" spans="8:9">
      <c r="H918" s="5">
        <v>919</v>
      </c>
      <c r="I918" s="5" cm="1">
        <f t="array" aca="1" ref="I918" ca="1">INDIRECT("Dienste!D"&amp;H918)</f>
        <v>0</v>
      </c>
    </row>
    <row r="919" spans="8:9">
      <c r="H919" s="5">
        <v>920</v>
      </c>
      <c r="I919" s="5" cm="1">
        <f t="array" aca="1" ref="I919" ca="1">INDIRECT("Dienste!D"&amp;H919)</f>
        <v>0</v>
      </c>
    </row>
    <row r="920" spans="8:9">
      <c r="H920" s="5">
        <v>921</v>
      </c>
      <c r="I920" s="5" cm="1">
        <f t="array" aca="1" ref="I920" ca="1">INDIRECT("Dienste!D"&amp;H920)</f>
        <v>0</v>
      </c>
    </row>
    <row r="921" spans="8:9">
      <c r="H921" s="5">
        <v>922</v>
      </c>
      <c r="I921" s="5" cm="1">
        <f t="array" aca="1" ref="I921" ca="1">INDIRECT("Dienste!D"&amp;H921)</f>
        <v>0</v>
      </c>
    </row>
    <row r="922" spans="8:9">
      <c r="H922" s="5">
        <v>923</v>
      </c>
      <c r="I922" s="5" cm="1">
        <f t="array" aca="1" ref="I922" ca="1">INDIRECT("Dienste!D"&amp;H922)</f>
        <v>0</v>
      </c>
    </row>
    <row r="923" spans="8:9">
      <c r="H923" s="5">
        <v>924</v>
      </c>
      <c r="I923" s="5" cm="1">
        <f t="array" aca="1" ref="I923" ca="1">INDIRECT("Dienste!D"&amp;H923)</f>
        <v>0</v>
      </c>
    </row>
    <row r="924" spans="8:9">
      <c r="H924" s="5">
        <v>925</v>
      </c>
      <c r="I924" s="5" cm="1">
        <f t="array" aca="1" ref="I924" ca="1">INDIRECT("Dienste!D"&amp;H924)</f>
        <v>0</v>
      </c>
    </row>
    <row r="925" spans="8:9">
      <c r="H925" s="5">
        <v>926</v>
      </c>
      <c r="I925" s="5" cm="1">
        <f t="array" aca="1" ref="I925" ca="1">INDIRECT("Dienste!D"&amp;H925)</f>
        <v>0</v>
      </c>
    </row>
    <row r="926" spans="8:9">
      <c r="H926" s="5">
        <v>927</v>
      </c>
      <c r="I926" s="5" cm="1">
        <f t="array" aca="1" ref="I926" ca="1">INDIRECT("Dienste!D"&amp;H926)</f>
        <v>0</v>
      </c>
    </row>
    <row r="927" spans="8:9">
      <c r="H927" s="5">
        <v>928</v>
      </c>
      <c r="I927" s="5" cm="1">
        <f t="array" aca="1" ref="I927" ca="1">INDIRECT("Dienste!D"&amp;H927)</f>
        <v>0</v>
      </c>
    </row>
    <row r="928" spans="8:9">
      <c r="H928" s="5">
        <v>929</v>
      </c>
      <c r="I928" s="5" cm="1">
        <f t="array" aca="1" ref="I928" ca="1">INDIRECT("Dienste!D"&amp;H928)</f>
        <v>0</v>
      </c>
    </row>
    <row r="929" spans="8:9">
      <c r="H929" s="5">
        <v>930</v>
      </c>
      <c r="I929" s="5" cm="1">
        <f t="array" aca="1" ref="I929" ca="1">INDIRECT("Dienste!D"&amp;H929)</f>
        <v>0</v>
      </c>
    </row>
    <row r="930" spans="8:9">
      <c r="H930" s="5">
        <v>931</v>
      </c>
      <c r="I930" s="5" cm="1">
        <f t="array" aca="1" ref="I930" ca="1">INDIRECT("Dienste!D"&amp;H930)</f>
        <v>0</v>
      </c>
    </row>
    <row r="931" spans="8:9">
      <c r="H931" s="5">
        <v>932</v>
      </c>
      <c r="I931" s="5" cm="1">
        <f t="array" aca="1" ref="I931" ca="1">INDIRECT("Dienste!D"&amp;H931)</f>
        <v>0</v>
      </c>
    </row>
    <row r="932" spans="8:9">
      <c r="H932" s="5">
        <v>933</v>
      </c>
      <c r="I932" s="5" cm="1">
        <f t="array" aca="1" ref="I932" ca="1">INDIRECT("Dienste!D"&amp;H932)</f>
        <v>0</v>
      </c>
    </row>
    <row r="933" spans="8:9">
      <c r="H933" s="5">
        <v>934</v>
      </c>
      <c r="I933" s="5" cm="1">
        <f t="array" aca="1" ref="I933" ca="1">INDIRECT("Dienste!D"&amp;H933)</f>
        <v>0</v>
      </c>
    </row>
    <row r="934" spans="8:9">
      <c r="H934" s="5">
        <v>935</v>
      </c>
      <c r="I934" s="5" cm="1">
        <f t="array" aca="1" ref="I934" ca="1">INDIRECT("Dienste!D"&amp;H934)</f>
        <v>0</v>
      </c>
    </row>
    <row r="935" spans="8:9">
      <c r="H935" s="5">
        <v>936</v>
      </c>
      <c r="I935" s="5" cm="1">
        <f t="array" aca="1" ref="I935" ca="1">INDIRECT("Dienste!D"&amp;H935)</f>
        <v>0</v>
      </c>
    </row>
    <row r="936" spans="8:9">
      <c r="H936" s="5">
        <v>937</v>
      </c>
      <c r="I936" s="5" cm="1">
        <f t="array" aca="1" ref="I936" ca="1">INDIRECT("Dienste!D"&amp;H936)</f>
        <v>0</v>
      </c>
    </row>
    <row r="937" spans="8:9">
      <c r="H937" s="5">
        <v>938</v>
      </c>
      <c r="I937" s="5" cm="1">
        <f t="array" aca="1" ref="I937" ca="1">INDIRECT("Dienste!D"&amp;H937)</f>
        <v>0</v>
      </c>
    </row>
    <row r="938" spans="8:9">
      <c r="H938" s="5">
        <v>939</v>
      </c>
      <c r="I938" s="5" cm="1">
        <f t="array" aca="1" ref="I938" ca="1">INDIRECT("Dienste!D"&amp;H938)</f>
        <v>0</v>
      </c>
    </row>
    <row r="939" spans="8:9">
      <c r="H939" s="5">
        <v>940</v>
      </c>
      <c r="I939" s="5" cm="1">
        <f t="array" aca="1" ref="I939" ca="1">INDIRECT("Dienste!D"&amp;H939)</f>
        <v>0</v>
      </c>
    </row>
    <row r="940" spans="8:9">
      <c r="H940" s="5">
        <v>941</v>
      </c>
      <c r="I940" s="5" cm="1">
        <f t="array" aca="1" ref="I940" ca="1">INDIRECT("Dienste!D"&amp;H940)</f>
        <v>0</v>
      </c>
    </row>
    <row r="941" spans="8:9">
      <c r="H941" s="5">
        <v>942</v>
      </c>
      <c r="I941" s="5" cm="1">
        <f t="array" aca="1" ref="I941" ca="1">INDIRECT("Dienste!D"&amp;H941)</f>
        <v>0</v>
      </c>
    </row>
    <row r="942" spans="8:9">
      <c r="H942" s="5">
        <v>943</v>
      </c>
      <c r="I942" s="5" cm="1">
        <f t="array" aca="1" ref="I942" ca="1">INDIRECT("Dienste!D"&amp;H942)</f>
        <v>0</v>
      </c>
    </row>
    <row r="943" spans="8:9">
      <c r="H943" s="5">
        <v>944</v>
      </c>
      <c r="I943" s="5" cm="1">
        <f t="array" aca="1" ref="I943" ca="1">INDIRECT("Dienste!D"&amp;H943)</f>
        <v>0</v>
      </c>
    </row>
    <row r="944" spans="8:9">
      <c r="H944" s="5">
        <v>945</v>
      </c>
      <c r="I944" s="5" cm="1">
        <f t="array" aca="1" ref="I944" ca="1">INDIRECT("Dienste!D"&amp;H944)</f>
        <v>0</v>
      </c>
    </row>
    <row r="945" spans="8:9">
      <c r="H945" s="5">
        <v>946</v>
      </c>
      <c r="I945" s="5" cm="1">
        <f t="array" aca="1" ref="I945" ca="1">INDIRECT("Dienste!D"&amp;H945)</f>
        <v>0</v>
      </c>
    </row>
    <row r="946" spans="8:9">
      <c r="H946" s="5">
        <v>947</v>
      </c>
      <c r="I946" s="5" cm="1">
        <f t="array" aca="1" ref="I946" ca="1">INDIRECT("Dienste!D"&amp;H946)</f>
        <v>0</v>
      </c>
    </row>
    <row r="947" spans="8:9">
      <c r="H947" s="5">
        <v>948</v>
      </c>
      <c r="I947" s="5" cm="1">
        <f t="array" aca="1" ref="I947" ca="1">INDIRECT("Dienste!D"&amp;H947)</f>
        <v>0</v>
      </c>
    </row>
    <row r="948" spans="8:9">
      <c r="H948" s="5">
        <v>949</v>
      </c>
      <c r="I948" s="5" cm="1">
        <f t="array" aca="1" ref="I948" ca="1">INDIRECT("Dienste!D"&amp;H948)</f>
        <v>0</v>
      </c>
    </row>
    <row r="949" spans="8:9">
      <c r="H949" s="5">
        <v>950</v>
      </c>
      <c r="I949" s="5" cm="1">
        <f t="array" aca="1" ref="I949" ca="1">INDIRECT("Dienste!D"&amp;H949)</f>
        <v>0</v>
      </c>
    </row>
    <row r="950" spans="8:9">
      <c r="H950" s="5">
        <v>951</v>
      </c>
      <c r="I950" s="5" cm="1">
        <f t="array" aca="1" ref="I950" ca="1">INDIRECT("Dienste!D"&amp;H950)</f>
        <v>0</v>
      </c>
    </row>
    <row r="951" spans="8:9">
      <c r="H951" s="5">
        <v>952</v>
      </c>
      <c r="I951" s="5" cm="1">
        <f t="array" aca="1" ref="I951" ca="1">INDIRECT("Dienste!D"&amp;H951)</f>
        <v>0</v>
      </c>
    </row>
    <row r="952" spans="8:9">
      <c r="H952" s="5">
        <v>953</v>
      </c>
      <c r="I952" s="5" cm="1">
        <f t="array" aca="1" ref="I952" ca="1">INDIRECT("Dienste!D"&amp;H952)</f>
        <v>0</v>
      </c>
    </row>
    <row r="953" spans="8:9">
      <c r="H953" s="5">
        <v>954</v>
      </c>
      <c r="I953" s="5" cm="1">
        <f t="array" aca="1" ref="I953" ca="1">INDIRECT("Dienste!D"&amp;H953)</f>
        <v>0</v>
      </c>
    </row>
    <row r="954" spans="8:9">
      <c r="H954" s="5">
        <v>955</v>
      </c>
      <c r="I954" s="5" cm="1">
        <f t="array" aca="1" ref="I954" ca="1">INDIRECT("Dienste!D"&amp;H954)</f>
        <v>0</v>
      </c>
    </row>
    <row r="955" spans="8:9">
      <c r="H955" s="5">
        <v>956</v>
      </c>
      <c r="I955" s="5" cm="1">
        <f t="array" aca="1" ref="I955" ca="1">INDIRECT("Dienste!D"&amp;H955)</f>
        <v>0</v>
      </c>
    </row>
    <row r="956" spans="8:9">
      <c r="H956" s="5">
        <v>957</v>
      </c>
      <c r="I956" s="5" cm="1">
        <f t="array" aca="1" ref="I956" ca="1">INDIRECT("Dienste!D"&amp;H956)</f>
        <v>0</v>
      </c>
    </row>
    <row r="957" spans="8:9">
      <c r="H957" s="5">
        <v>958</v>
      </c>
      <c r="I957" s="5" cm="1">
        <f t="array" aca="1" ref="I957" ca="1">INDIRECT("Dienste!D"&amp;H957)</f>
        <v>0</v>
      </c>
    </row>
    <row r="958" spans="8:9">
      <c r="H958" s="5">
        <v>959</v>
      </c>
      <c r="I958" s="5" cm="1">
        <f t="array" aca="1" ref="I958" ca="1">INDIRECT("Dienste!D"&amp;H958)</f>
        <v>0</v>
      </c>
    </row>
    <row r="959" spans="8:9">
      <c r="H959" s="5">
        <v>960</v>
      </c>
      <c r="I959" s="5" cm="1">
        <f t="array" aca="1" ref="I959" ca="1">INDIRECT("Dienste!D"&amp;H959)</f>
        <v>0</v>
      </c>
    </row>
    <row r="960" spans="8:9">
      <c r="H960" s="5">
        <v>961</v>
      </c>
      <c r="I960" s="5" cm="1">
        <f t="array" aca="1" ref="I960" ca="1">INDIRECT("Dienste!D"&amp;H960)</f>
        <v>0</v>
      </c>
    </row>
    <row r="961" spans="8:9">
      <c r="H961" s="5">
        <v>962</v>
      </c>
      <c r="I961" s="5" cm="1">
        <f t="array" aca="1" ref="I961" ca="1">INDIRECT("Dienste!D"&amp;H961)</f>
        <v>0</v>
      </c>
    </row>
    <row r="962" spans="8:9">
      <c r="H962" s="5">
        <v>963</v>
      </c>
      <c r="I962" s="5" cm="1">
        <f t="array" aca="1" ref="I962" ca="1">INDIRECT("Dienste!D"&amp;H962)</f>
        <v>0</v>
      </c>
    </row>
    <row r="963" spans="8:9">
      <c r="H963" s="5">
        <v>964</v>
      </c>
      <c r="I963" s="5" cm="1">
        <f t="array" aca="1" ref="I963" ca="1">INDIRECT("Dienste!D"&amp;H963)</f>
        <v>0</v>
      </c>
    </row>
    <row r="964" spans="8:9">
      <c r="H964" s="5">
        <v>965</v>
      </c>
      <c r="I964" s="5" cm="1">
        <f t="array" aca="1" ref="I964" ca="1">INDIRECT("Dienste!D"&amp;H964)</f>
        <v>0</v>
      </c>
    </row>
    <row r="965" spans="8:9">
      <c r="H965" s="5">
        <v>966</v>
      </c>
      <c r="I965" s="5" cm="1">
        <f t="array" aca="1" ref="I965" ca="1">INDIRECT("Dienste!D"&amp;H965)</f>
        <v>0</v>
      </c>
    </row>
    <row r="966" spans="8:9">
      <c r="H966" s="5">
        <v>967</v>
      </c>
      <c r="I966" s="5" cm="1">
        <f t="array" aca="1" ref="I966" ca="1">INDIRECT("Dienste!D"&amp;H966)</f>
        <v>0</v>
      </c>
    </row>
    <row r="967" spans="8:9">
      <c r="H967" s="5">
        <v>968</v>
      </c>
      <c r="I967" s="5" cm="1">
        <f t="array" aca="1" ref="I967" ca="1">INDIRECT("Dienste!D"&amp;H967)</f>
        <v>0</v>
      </c>
    </row>
    <row r="968" spans="8:9">
      <c r="H968" s="5">
        <v>969</v>
      </c>
      <c r="I968" s="5" cm="1">
        <f t="array" aca="1" ref="I968" ca="1">INDIRECT("Dienste!D"&amp;H968)</f>
        <v>0</v>
      </c>
    </row>
    <row r="969" spans="8:9">
      <c r="H969" s="5">
        <v>970</v>
      </c>
      <c r="I969" s="5" cm="1">
        <f t="array" aca="1" ref="I969" ca="1">INDIRECT("Dienste!D"&amp;H969)</f>
        <v>0</v>
      </c>
    </row>
    <row r="970" spans="8:9">
      <c r="H970" s="5">
        <v>971</v>
      </c>
      <c r="I970" s="5" cm="1">
        <f t="array" aca="1" ref="I970" ca="1">INDIRECT("Dienste!D"&amp;H970)</f>
        <v>0</v>
      </c>
    </row>
    <row r="971" spans="8:9">
      <c r="H971" s="5">
        <v>972</v>
      </c>
      <c r="I971" s="5" cm="1">
        <f t="array" aca="1" ref="I971" ca="1">INDIRECT("Dienste!D"&amp;H971)</f>
        <v>0</v>
      </c>
    </row>
    <row r="972" spans="8:9">
      <c r="H972" s="5">
        <v>973</v>
      </c>
      <c r="I972" s="5" cm="1">
        <f t="array" aca="1" ref="I972" ca="1">INDIRECT("Dienste!D"&amp;H972)</f>
        <v>0</v>
      </c>
    </row>
    <row r="973" spans="8:9">
      <c r="H973" s="5">
        <v>974</v>
      </c>
      <c r="I973" s="5" cm="1">
        <f t="array" aca="1" ref="I973" ca="1">INDIRECT("Dienste!D"&amp;H973)</f>
        <v>0</v>
      </c>
    </row>
    <row r="974" spans="8:9">
      <c r="H974" s="5">
        <v>975</v>
      </c>
      <c r="I974" s="5" cm="1">
        <f t="array" aca="1" ref="I974" ca="1">INDIRECT("Dienste!D"&amp;H974)</f>
        <v>0</v>
      </c>
    </row>
    <row r="975" spans="8:9">
      <c r="H975" s="5">
        <v>976</v>
      </c>
      <c r="I975" s="5" cm="1">
        <f t="array" aca="1" ref="I975" ca="1">INDIRECT("Dienste!D"&amp;H975)</f>
        <v>0</v>
      </c>
    </row>
    <row r="976" spans="8:9">
      <c r="H976" s="5">
        <v>977</v>
      </c>
      <c r="I976" s="5" cm="1">
        <f t="array" aca="1" ref="I976" ca="1">INDIRECT("Dienste!D"&amp;H976)</f>
        <v>0</v>
      </c>
    </row>
    <row r="977" spans="8:9">
      <c r="H977" s="5">
        <v>978</v>
      </c>
      <c r="I977" s="5" cm="1">
        <f t="array" aca="1" ref="I977" ca="1">INDIRECT("Dienste!D"&amp;H977)</f>
        <v>0</v>
      </c>
    </row>
    <row r="978" spans="8:9">
      <c r="H978" s="5">
        <v>979</v>
      </c>
      <c r="I978" s="5" cm="1">
        <f t="array" aca="1" ref="I978" ca="1">INDIRECT("Dienste!D"&amp;H978)</f>
        <v>0</v>
      </c>
    </row>
    <row r="979" spans="8:9">
      <c r="H979" s="5">
        <v>980</v>
      </c>
      <c r="I979" s="5" cm="1">
        <f t="array" aca="1" ref="I979" ca="1">INDIRECT("Dienste!D"&amp;H979)</f>
        <v>0</v>
      </c>
    </row>
    <row r="980" spans="8:9">
      <c r="H980" s="5">
        <v>981</v>
      </c>
      <c r="I980" s="5" cm="1">
        <f t="array" aca="1" ref="I980" ca="1">INDIRECT("Dienste!D"&amp;H980)</f>
        <v>0</v>
      </c>
    </row>
    <row r="981" spans="8:9">
      <c r="H981" s="5">
        <v>982</v>
      </c>
      <c r="I981" s="5" cm="1">
        <f t="array" aca="1" ref="I981" ca="1">INDIRECT("Dienste!D"&amp;H981)</f>
        <v>0</v>
      </c>
    </row>
    <row r="982" spans="8:9">
      <c r="H982" s="5">
        <v>983</v>
      </c>
      <c r="I982" s="5" cm="1">
        <f t="array" aca="1" ref="I982" ca="1">INDIRECT("Dienste!D"&amp;H982)</f>
        <v>0</v>
      </c>
    </row>
    <row r="983" spans="8:9">
      <c r="H983" s="5">
        <v>984</v>
      </c>
      <c r="I983" s="5" cm="1">
        <f t="array" aca="1" ref="I983" ca="1">INDIRECT("Dienste!D"&amp;H983)</f>
        <v>0</v>
      </c>
    </row>
    <row r="984" spans="8:9">
      <c r="H984" s="5">
        <v>985</v>
      </c>
      <c r="I984" s="5" cm="1">
        <f t="array" aca="1" ref="I984" ca="1">INDIRECT("Dienste!D"&amp;H984)</f>
        <v>0</v>
      </c>
    </row>
    <row r="985" spans="8:9">
      <c r="H985" s="5">
        <v>986</v>
      </c>
      <c r="I985" s="5" cm="1">
        <f t="array" aca="1" ref="I985" ca="1">INDIRECT("Dienste!D"&amp;H985)</f>
        <v>0</v>
      </c>
    </row>
    <row r="986" spans="8:9">
      <c r="H986" s="5">
        <v>987</v>
      </c>
      <c r="I986" s="5" cm="1">
        <f t="array" aca="1" ref="I986" ca="1">INDIRECT("Dienste!D"&amp;H986)</f>
        <v>0</v>
      </c>
    </row>
    <row r="987" spans="8:9">
      <c r="H987" s="5">
        <v>988</v>
      </c>
      <c r="I987" s="5" cm="1">
        <f t="array" aca="1" ref="I987" ca="1">INDIRECT("Dienste!D"&amp;H987)</f>
        <v>0</v>
      </c>
    </row>
    <row r="988" spans="8:9">
      <c r="H988" s="5">
        <v>989</v>
      </c>
      <c r="I988" s="5" cm="1">
        <f t="array" aca="1" ref="I988" ca="1">INDIRECT("Dienste!D"&amp;H988)</f>
        <v>0</v>
      </c>
    </row>
    <row r="989" spans="8:9">
      <c r="H989" s="5">
        <v>990</v>
      </c>
      <c r="I989" s="5" cm="1">
        <f t="array" aca="1" ref="I989" ca="1">INDIRECT("Dienste!D"&amp;H989)</f>
        <v>0</v>
      </c>
    </row>
    <row r="990" spans="8:9">
      <c r="H990" s="5">
        <v>991</v>
      </c>
      <c r="I990" s="5" cm="1">
        <f t="array" aca="1" ref="I990" ca="1">INDIRECT("Dienste!D"&amp;H990)</f>
        <v>0</v>
      </c>
    </row>
    <row r="991" spans="8:9">
      <c r="H991" s="5">
        <v>992</v>
      </c>
      <c r="I991" s="5" cm="1">
        <f t="array" aca="1" ref="I991" ca="1">INDIRECT("Dienste!D"&amp;H991)</f>
        <v>0</v>
      </c>
    </row>
    <row r="992" spans="8:9">
      <c r="H992" s="5">
        <v>993</v>
      </c>
      <c r="I992" s="5" cm="1">
        <f t="array" aca="1" ref="I992" ca="1">INDIRECT("Dienste!D"&amp;H992)</f>
        <v>0</v>
      </c>
    </row>
    <row r="993" spans="8:9">
      <c r="H993" s="5">
        <v>994</v>
      </c>
      <c r="I993" s="5" cm="1">
        <f t="array" aca="1" ref="I993" ca="1">INDIRECT("Dienste!D"&amp;H993)</f>
        <v>0</v>
      </c>
    </row>
    <row r="994" spans="8:9">
      <c r="H994" s="5">
        <v>995</v>
      </c>
      <c r="I994" s="5" cm="1">
        <f t="array" aca="1" ref="I994" ca="1">INDIRECT("Dienste!D"&amp;H994)</f>
        <v>0</v>
      </c>
    </row>
    <row r="995" spans="8:9">
      <c r="H995" s="5">
        <v>996</v>
      </c>
      <c r="I995" s="5" cm="1">
        <f t="array" aca="1" ref="I995" ca="1">INDIRECT("Dienste!D"&amp;H995)</f>
        <v>0</v>
      </c>
    </row>
    <row r="996" spans="8:9">
      <c r="H996" s="5">
        <v>997</v>
      </c>
      <c r="I996" s="5" cm="1">
        <f t="array" aca="1" ref="I996" ca="1">INDIRECT("Dienste!D"&amp;H996)</f>
        <v>0</v>
      </c>
    </row>
    <row r="997" spans="8:9">
      <c r="H997" s="5">
        <v>998</v>
      </c>
      <c r="I997" s="5" cm="1">
        <f t="array" aca="1" ref="I997" ca="1">INDIRECT("Dienste!D"&amp;H997)</f>
        <v>0</v>
      </c>
    </row>
    <row r="998" spans="8:9">
      <c r="H998" s="5">
        <v>999</v>
      </c>
      <c r="I998" s="5" cm="1">
        <f t="array" aca="1" ref="I998" ca="1">INDIRECT("Dienste!D"&amp;H998)</f>
        <v>0</v>
      </c>
    </row>
    <row r="999" spans="8:9">
      <c r="H999" s="5">
        <v>1000</v>
      </c>
      <c r="I999" s="5" cm="1">
        <f t="array" aca="1" ref="I999" ca="1">INDIRECT("Dienste!D"&amp;H999)</f>
        <v>0</v>
      </c>
    </row>
    <row r="1000" spans="8:9">
      <c r="H1000" s="5">
        <v>1001</v>
      </c>
      <c r="I1000" s="5" cm="1">
        <f t="array" aca="1" ref="I1000" ca="1">INDIRECT("Dienste!D"&amp;H1000)</f>
        <v>0</v>
      </c>
    </row>
    <row r="1001" spans="8:9">
      <c r="H1001" s="5">
        <v>1002</v>
      </c>
      <c r="I1001" s="5" cm="1">
        <f t="array" aca="1" ref="I1001" ca="1">INDIRECT("Dienste!D"&amp;H1001)</f>
        <v>0</v>
      </c>
    </row>
    <row r="1002" spans="8:9">
      <c r="H1002" s="5">
        <v>1003</v>
      </c>
      <c r="I1002" s="5" cm="1">
        <f t="array" aca="1" ref="I1002" ca="1">INDIRECT("Dienste!D"&amp;H1002)</f>
        <v>0</v>
      </c>
    </row>
    <row r="1003" spans="8:9">
      <c r="H1003" s="5">
        <v>1004</v>
      </c>
      <c r="I1003" s="5" cm="1">
        <f t="array" aca="1" ref="I1003" ca="1">INDIRECT("Dienste!D"&amp;H1003)</f>
        <v>0</v>
      </c>
    </row>
    <row r="1004" spans="8:9">
      <c r="H1004" s="5">
        <v>1005</v>
      </c>
      <c r="I1004" s="5" cm="1">
        <f t="array" aca="1" ref="I1004" ca="1">INDIRECT("Dienste!D"&amp;H1004)</f>
        <v>0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Abrechnungsformular</vt:lpstr>
      <vt:lpstr>Stundenaufzeichnung</vt:lpstr>
      <vt:lpstr>Übersicht Monate</vt:lpstr>
      <vt:lpstr>Dienste</vt:lpstr>
      <vt:lpstr>Regiezeiten</vt:lpstr>
      <vt:lpstr>Pause</vt:lpstr>
      <vt:lpstr>Datenblatt</vt:lpstr>
      <vt:lpstr>Daten</vt:lpstr>
      <vt:lpstr>Daten!Criteria</vt:lpstr>
      <vt:lpstr>Daten!Extract</vt:lpstr>
      <vt:lpstr>Abrechnungsformular!Print_Area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Franz Heumayr</cp:lastModifiedBy>
  <cp:lastPrinted>2022-01-26T02:12:19Z</cp:lastPrinted>
  <dcterms:created xsi:type="dcterms:W3CDTF">2020-09-11T15:02:11Z</dcterms:created>
  <dcterms:modified xsi:type="dcterms:W3CDTF">2022-02-03T12:26:59Z</dcterms:modified>
</cp:coreProperties>
</file>