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than\Documents\Team3176\scout\excel\2023\"/>
    </mc:Choice>
  </mc:AlternateContent>
  <xr:revisionPtr revIDLastSave="0" documentId="13_ncr:1_{B1560DDC-8B40-4960-854A-303B891DC77A}" xr6:coauthVersionLast="47" xr6:coauthVersionMax="47" xr10:uidLastSave="{00000000-0000-0000-0000-000000000000}"/>
  <bookViews>
    <workbookView xWindow="28680" yWindow="-4995" windowWidth="29040" windowHeight="15840" tabRatio="806" activeTab="2" xr2:uid="{BB1F9FFD-16FD-45DA-8769-054BD3DB5F31}"/>
  </bookViews>
  <sheets>
    <sheet name="Control" sheetId="3" r:id="rId1"/>
    <sheet name="Image Maps" sheetId="34" r:id="rId2"/>
    <sheet name="Match Scouting Data" sheetId="8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alcChain.xml><?xml version="1.0" encoding="utf-8"?>
<calcChain xmlns="http://schemas.openxmlformats.org/spreadsheetml/2006/main">
  <c r="AV2" i="8" l="1"/>
  <c r="BQ2" i="8"/>
  <c r="AW2" i="8"/>
  <c r="BG2" i="8"/>
  <c r="BP2" i="8"/>
  <c r="BE2" i="8"/>
  <c r="BD2" i="8"/>
  <c r="BI2" i="8"/>
  <c r="BH2" i="8"/>
  <c r="BB2" i="8"/>
  <c r="BA2" i="8"/>
  <c r="AZ2" i="8"/>
  <c r="BC2" i="8"/>
  <c r="BF2" i="8"/>
  <c r="AY2" i="8"/>
  <c r="AX2" i="8"/>
  <c r="BL2" i="8" l="1"/>
  <c r="BM2" i="8"/>
  <c r="BJ2" i="8"/>
  <c r="BN2" i="8"/>
  <c r="BO2" i="8"/>
  <c r="BK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T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AG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  <comment ref="AV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<sst xmlns="http://schemas.openxmlformats.org/spreadsheetml/2006/main" count="101" uniqueCount="97">
  <si>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</si>
  <si>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</si>
  <si>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</si>
  <si>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</si>
  <si>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</si>
  <si>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</si>
  <si>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</si>
  <si>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</si>
  <si>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</si>
  <si>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</si>
  <si>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</si>
  <si>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</si>
  <si>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</si>
  <si>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</si>
  <si>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speedRating</t>
  </si>
  <si>
    <t xml:space="preserve"> </t>
  </si>
  <si>
    <t>x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</si>
  <si>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</si>
  <si>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</si>
  <si>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</si>
  <si>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</si>
  <si>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</si>
  <si>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</si>
  <si>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</si>
  <si>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</si>
  <si>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</si>
  <si>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</si>
  <si>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</si>
  <si>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</si>
  <si>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</si>
  <si>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</si>
  <si>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</si>
  <si>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</si>
  <si>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</si>
  <si>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</si>
  <si>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</si>
  <si>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</si>
  <si>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</si>
  <si>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</si>
  <si>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</si>
  <si>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</si>
  <si>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</si>
  <si>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</si>
  <si>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</si>
  <si>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</si>
  <si>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</si>
  <si>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</si>
  <si>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</si>
  <si>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</si>
  <si>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</si>
  <si>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</si>
  <si>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</si>
  <si>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</si>
  <si>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PWNAGE SCOutiNG PASS</t>
  </si>
  <si>
    <t>MidweSt ReGioNAL 2023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</si>
  <si>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</si>
  <si>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</si>
  <si>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</si>
  <si>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</si>
  <si>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</si>
  <si>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</si>
  <si>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</si>
  <si>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</si>
  <si>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</si>
  <si>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</si>
  <si>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</si>
  <si>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</si>
  <si>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</si>
  <si>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</si>
  <si>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</si>
  <si>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varsityOrJV</t>
  </si>
  <si>
    <t>jh</t>
  </si>
  <si>
    <t>2023inwla</t>
  </si>
  <si>
    <t>r1</t>
  </si>
  <si>
    <t>[]</t>
  </si>
  <si>
    <t>autoTryScoreFailed</t>
  </si>
  <si>
    <t>tryScoreFailed</t>
  </si>
  <si>
    <t>[12,14,7,8]</t>
  </si>
  <si>
    <t>singleSubPickUp</t>
  </si>
  <si>
    <t>doubleSubPickUp</t>
  </si>
  <si>
    <t>crossedChargeStation</t>
  </si>
  <si>
    <t>trafficJam</t>
  </si>
  <si>
    <t>fouls2OrMore</t>
  </si>
  <si>
    <t>yellowCard</t>
  </si>
  <si>
    <t>redCard</t>
  </si>
  <si>
    <t>driverSkillComment</t>
  </si>
  <si>
    <t>driverWasReckless</t>
  </si>
  <si>
    <t>tippedOver</t>
  </si>
  <si>
    <t>asdf</t>
  </si>
  <si>
    <t>asdfasdf</t>
  </si>
  <si>
    <t>failedGrid</t>
  </si>
  <si>
    <t>failedGamePieces</t>
  </si>
  <si>
    <t>FailedCubes</t>
  </si>
  <si>
    <t>FailedCones</t>
  </si>
  <si>
    <t>autoExtraCube</t>
  </si>
  <si>
    <t>autoExtraSuccess</t>
  </si>
  <si>
    <t>autoExtraCone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</si>
</sst>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D34AA4D5-A817-4587-926A-F757B9A68BD5}"/>
  </cellStyles>
  <dxfs count="6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937270</xdr:colOff>
      <xdr:row>2</xdr:row>
      <xdr:rowOff>182888</xdr:rowOff>
    </xdr:from>
    <xdr:to>
      <xdr:col>9</xdr:col>
      <xdr:colOff>197653</xdr:colOff>
      <xdr:row>19</xdr:row>
      <xdr:rowOff>98591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7130" y="1714508"/>
          <a:ext cx="3809523" cy="3809523"/>
        </a:xfrm>
        <a:prstGeom prst="rect">
          <a:avLst/>
        </a:prstGeom>
      </xdr:spPr>
    </xdr:pic>
    <xdr:clientData/>
  </xdr:twoCellAnchor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Q2" totalsRowShown="0" headerRowDxfId="65" dataDxfId="64" tableBorderDxfId="63">
  <autoFilter ref="A1:BQ2" xr:uid="{00000000-0009-0000-0100-00000A000000}"/>
  <tableColumns count="69">
    <tableColumn id="2" xr3:uid="{57120D76-837B-420B-8789-742C14F566ED}" name="scouter" dataDxfId="62"/>
    <tableColumn id="7" xr3:uid="{295E95BC-FD0C-44B4-AD60-06E68739F77C}" name="varsityOrJV"/>
    <tableColumn id="34" xr3:uid="{CC380EE1-D4BB-490E-9A04-7D40FF472162}" name="eventCode" dataDxfId="61"/>
    <tableColumn id="33" xr3:uid="{AAAE748B-CC35-4AA8-A5E1-7D881177BFA8}" name="matchLevel" dataDxfId="60"/>
    <tableColumn id="32" xr3:uid="{A9872F3F-D581-458A-8B2B-0607C0A28C41}" name="matchNumber" dataDxfId="59"/>
    <tableColumn id="49" xr3:uid="{EEC79A0C-9790-46DE-9245-085FBF7C0861}" name="robot" dataDxfId="58"/>
    <tableColumn id="3" xr3:uid="{6FD25F9C-1F41-497F-BFF4-9781437EA199}" name="teamNumber" dataDxfId="57"/>
    <tableColumn id="9" xr3:uid="{655949C9-B906-4060-9869-33CAEE3FAD61}" name="autoStartingLocation" dataDxfId="56"/>
    <tableColumn id="53" xr3:uid="{9C8E7B97-748E-4FB3-A341-6B1004D40060}" name="autoScoredGrid" dataDxfId="55"/>
    <tableColumn id="15" xr3:uid="{BDD1FAE3-4D73-4911-A3FD-274EEE646916}" name="autoTryScoreFailed" dataDxfId="54"/>
    <tableColumn id="55" xr3:uid="{E97E3583-73A4-49A0-B392-2071F3659BD3}" name="autoMobility" dataDxfId="53"/>
    <tableColumn id="40" xr3:uid="{B082F301-991B-4BBD-9531-59E2BB661696}" name="autoExtraCone"/>
    <tableColumn id="44" xr3:uid="{0AB1F2A9-CDB4-4D90-8F0A-D7D147F9AB9C}" name="autoExtraCube"/>
    <tableColumn id="45" xr3:uid="{1432C587-1900-4015-8E8A-6DE0FE6CD6F1}" name="autoExtraSuccess"/>
    <tableColumn id="60" xr3:uid="{9884A482-69F0-407D-8CD5-09921D28C640}" name="autoDocked" dataDxfId="52"/>
    <tableColumn id="42" xr3:uid="{54612E06-73EA-434E-A780-18CA04B3DA27}" name="scoredGrid" dataDxfId="51"/>
    <tableColumn id="19" xr3:uid="{4FC167FC-FC73-42F7-86D2-A0985170943D}" name="failedGrid"/>
    <tableColumn id="20" xr3:uid="{400C0BA2-1DBB-45CE-B30C-0A5825BE444C}" name="tryScoreFailed" dataDxfId="50"/>
    <tableColumn id="79" xr3:uid="{7B8111A6-79D2-4173-9106-1A2477FFE1BB}" name="droppedCones" dataDxfId="49"/>
    <tableColumn id="16" xr3:uid="{268E6509-13CC-4DE9-BBE5-D135BD2C4E04}" name="feedCount" dataDxfId="48"/>
    <tableColumn id="72" xr3:uid="{1BF39ABD-43AB-48AB-9B6C-642CC0BB4F2B}" name="wasFed" dataDxfId="47"/>
    <tableColumn id="65" xr3:uid="{58AB5D2F-A4C6-477A-860D-68706D75702F}" name="smartLinks" dataDxfId="46"/>
    <tableColumn id="66" xr3:uid="{1F543861-BF4E-4A32-8143-B55D05068247}" name="floorPickUp" dataDxfId="45"/>
    <tableColumn id="21" xr3:uid="{BE58F92D-59BD-420F-B27A-AFCACC951D80}" name="singleSubPickUp" dataDxfId="44"/>
    <tableColumn id="22" xr3:uid="{87787A51-D7CE-41AE-B073-071BAC11D7B7}" name="doubleSubPickUp" dataDxfId="43"/>
    <tableColumn id="24" xr3:uid="{6C32A8D7-A9AE-49EC-AA14-66646B5344A4}" name="crossedChargeStation" dataDxfId="42"/>
    <tableColumn id="25" xr3:uid="{03563899-5AB9-448B-A1D2-A61F97A09CDE}" name="trafficJam" dataDxfId="41"/>
    <tableColumn id="26" xr3:uid="{F82D711B-B18E-4E8D-A332-603736451D2D}" name="fouls2OrMore" dataDxfId="40"/>
    <tableColumn id="28" xr3:uid="{40AACE83-FE3F-4BF2-8F3D-6369DB8F5E83}" name="yellowCard" dataDxfId="39"/>
    <tableColumn id="29" xr3:uid="{99EE49B9-C50A-4B11-805C-583A8E32A1DE}" name="redCard" dataDxfId="38"/>
    <tableColumn id="75" xr3:uid="{66D2763C-F145-49A0-A6D9-3746EB85098A}" name="finalState"/>
    <tableColumn id="77" xr3:uid="{A19CF959-B7F9-4B11-9778-E8AE49F72EFB}" name="numOfRobotsDocked"/>
    <tableColumn id="18" xr3:uid="{1DE9C03E-0EC4-453B-A446-4F288F60CEA0}" name="wasDefended" dataDxfId="37"/>
    <tableColumn id="63" xr3:uid="{E924EA5D-940E-4130-8769-B4F675B0C901}" name="whoDefended" dataDxfId="36"/>
    <tableColumn id="70" xr3:uid="{7659916C-CD5A-4D12-B367-876D98040892}" name="driverSkill" dataDxfId="35"/>
    <tableColumn id="30" xr3:uid="{428A50F2-2924-4201-8891-366CC16C7625}" name="driverSkillComment"/>
    <tableColumn id="71" xr3:uid="{39C6D63C-65E0-4A1B-9189-2C10EE97F173}" name="defenseRating" dataDxfId="34"/>
    <tableColumn id="43" xr3:uid="{F5421853-F7E7-4FDA-8EA1-7174D740B04A}" name="speedRating" dataDxfId="33"/>
    <tableColumn id="35" xr3:uid="{F7358F0E-DE78-4093-8D81-DC67EFEE70FE}" name="driverWasReckless" dataDxfId="32"/>
    <tableColumn id="41" xr3:uid="{B2F88C8C-ED79-4B63-BA2D-DDA1E959A98A}" name="tippy" dataDxfId="31"/>
    <tableColumn id="37" xr3:uid="{2EF3B5B1-1345-468D-AAC0-5DEDE3879AD5}" name="tippedOver" dataDxfId="30"/>
    <tableColumn id="36" xr3:uid="{9970774D-C4B7-4F0C-9212-19060A2F92F8}" name="diedOrTipped" dataDxfId="2"/>
    <tableColumn id="51" xr3:uid="{70561FAB-2633-4647-B409-2E81255BC174}" name="comments" dataDxfId="29"/>
    <tableColumn id="78" xr3:uid="{20C5E0B6-0A01-4F0F-B3C9-6C46A6606877}" name="linksScored" dataDxfId="28"/>
    <tableColumn id="59" xr3:uid="{FE6068BA-68B8-400E-9AAB-BB0B6CE1F2F5}" name="cycleTimes" dataDxfId="27"/>
    <tableColumn id="67" xr3:uid="{D5DF88FC-2198-4F0A-8E9C-DA3379D9166A}" name="dockingTime" dataDxfId="26"/>
    <tableColumn id="4" xr3:uid="{3BD88F53-BEAA-4A0C-B753-B686399DC55B}" name="autoGamePieces" dataDxfId="25"/>
    <tableColumn id="1" xr3:uid="{F28CAB33-6A98-4F06-B9E8-8BAEB150DCCB}" name="match_key" dataDxfId="24">
      <calculatedColumnFormula>ScoutingData[[#This Row],[eventCode]]&amp;"_"&amp;ScoutingData[[#This Row],[matchLevel]]&amp;ScoutingData[[#This Row],[matchNumber]]</calculatedColumnFormula>
    </tableColumn>
    <tableColumn id="74" xr3:uid="{8B219B6A-C564-42C7-854A-776DBD5167F4}" name="autoCubes" dataDxfId="23">
      <calculatedColumnFormula>getTotalCount(ScoutingData[[#This Row],[autoScoredGrid]])</calculatedColumnFormula>
    </tableColumn>
    <tableColumn id="23" xr3:uid="{B2A0B1D7-F2FC-4F42-8DEA-EF241612981C}" name="autoCones" dataDxfId="22">
      <calculatedColumnFormula>getCubeCount(ScoutingData[[#This Row],[autoScoredGrid]])</calculatedColumnFormula>
    </tableColumn>
    <tableColumn id="73" xr3:uid="{54DBEFB9-DA30-4754-A269-3E8C2E0A4782}" name="autoHigh" dataDxfId="21">
      <calculatedColumnFormula>getConeCount(ScoutingData[[#This Row],[autoScoredGrid]])</calculatedColumnFormula>
    </tableColumn>
    <tableColumn id="46" xr3:uid="{F8BC7A7C-4BF4-485A-AC53-F32862572576}" name="autoMed" dataDxfId="20">
      <calculatedColumnFormula>getHighCount(ScoutingData[[#This Row],[autoScoredGrid]])</calculatedColumnFormula>
    </tableColumn>
    <tableColumn id="47" xr3:uid="{AB8341E7-B3A8-4906-BB8C-57AB054FF592}" name="autoLow" dataDxfId="19">
      <calculatedColumnFormula>getMedCount(ScoutingData[[#This Row],[autoScoredGrid]])</calculatedColumnFormula>
    </tableColumn>
    <tableColumn id="50" xr3:uid="{3B828B9B-FFCC-4897-B7D3-C6B1C82ADE07}" name="avgCycleTime" dataDxfId="18">
      <calculatedColumnFormula>getLowCount(ScoutingData[[#This Row],[autoScoredGrid]])</calculatedColumnFormula>
    </tableColumn>
    <tableColumn id="27" xr3:uid="{F7CC712C-CBB5-442E-829A-FA5ED02C8777}" name="teleopGamePieces" dataDxfId="17">
      <calculatedColumnFormula>getTotalCount(ScoutingData[[#This Row],[scoredGrid]])</calculatedColumnFormula>
    </tableColumn>
    <tableColumn id="31" xr3:uid="{111BE699-16C7-4C2A-9FAA-75D2DDA3DC7D}" name="failedGamePieces" dataDxfId="16">
      <calculatedColumnFormula>getTotalCount(ScoutingData[[#This Row],[failedGrid]])</calculatedColumnFormula>
    </tableColumn>
    <tableColumn id="52" xr3:uid="{78438921-1E19-42E9-B8D2-48C91010F815}" name="teleopCubes" dataDxfId="15">
      <calculatedColumnFormula>getCubeCount(ScoutingData[[#This Row],[scoredGrid]])</calculatedColumnFormula>
    </tableColumn>
    <tableColumn id="5" xr3:uid="{55082722-1B0F-4677-99B8-1D067F4BDF21}" name="teleopCones" dataDxfId="14">
      <calculatedColumnFormula>getConeCount(ScoutingData[[#This Row],[scoredGrid]])</calculatedColumnFormula>
    </tableColumn>
    <tableColumn id="8" xr3:uid="{EDC1D520-5557-418E-B2ED-DDFAF2F77499}" name="teleopHigh" dataDxfId="13">
      <calculatedColumnFormula>getHighCount(ScoutingData[[#This Row],[scoredGrid]])</calculatedColumnFormula>
    </tableColumn>
    <tableColumn id="10" xr3:uid="{86B1F94A-5EEC-42C8-9CA8-F64391788CC9}" name="teleopMed" dataDxfId="12">
      <calculatedColumnFormula>getMedCount(ScoutingData[[#This Row],[scoredGrid]])</calculatedColumnFormula>
    </tableColumn>
    <tableColumn id="11" xr3:uid="{BACAA238-122F-4380-855F-29FA58977A83}" name="teleopLow" dataDxfId="11">
      <calculatedColumnFormula>getLowCount(ScoutingData[[#This Row],[scoredGrid]])</calculatedColumnFormula>
    </tableColumn>
    <tableColumn id="12" xr3:uid="{91F84488-26C9-437C-A41A-38D976771823}" name="totalGamePieces" dataDxfId="10">
      <calculatedColumnFormula>ScoutingData[[#This Row],[autoGamePieces]]+ScoutingData[[#This Row],[teleopGamePieces]]</calculatedColumnFormula>
    </tableColumn>
    <tableColumn id="13" xr3:uid="{0D7B1A40-1D30-4EA4-A5E9-E9E8707AA108}" name="totalCubes" dataDxfId="9">
      <calculatedColumnFormula>ScoutingData[[#This Row],[autoCubes]]+ScoutingData[[#This Row],[teleopCubes]]</calculatedColumnFormula>
    </tableColumn>
    <tableColumn id="14" xr3:uid="{0E79569B-84D7-4ED8-9343-E7844CF8F534}" name="totalCones" dataDxfId="8">
      <calculatedColumnFormula>ScoutingData[[#This Row],[autoCones]]+ScoutingData[[#This Row],[teleopCones]]</calculatedColumnFormula>
    </tableColumn>
    <tableColumn id="76" xr3:uid="{09B45EB6-8B77-4649-80B5-212BE270911B}" name="totalHigh" dataDxfId="7">
      <calculatedColumnFormula>ScoutingData[[#This Row],[autoHigh]]+ScoutingData[[#This Row],[teleopHigh]]</calculatedColumnFormula>
    </tableColumn>
    <tableColumn id="17" xr3:uid="{F232AEC2-40C0-4260-985A-956F42CC7F84}" name="totalMed" dataDxfId="6">
      <calculatedColumnFormula>ScoutingData[[#This Row],[autoMed]]+ScoutingData[[#This Row],[teleopMed]]</calculatedColumnFormula>
    </tableColumn>
    <tableColumn id="6" xr3:uid="{23A5F46F-316A-4172-A947-A9154C209B6C}" name="totalLow" dataDxfId="5">
      <calculatedColumnFormula>ScoutingData[[#This Row],[autoLow]]+ScoutingData[[#This Row],[teleopLow]]</calculatedColumnFormula>
    </tableColumn>
    <tableColumn id="38" xr3:uid="{B71F04E3-CB5C-4B4C-B984-5A5035AF8EE4}" name="FailedCones" dataDxfId="4">
      <calculatedColumnFormula>getConeCount(ScoutingData[[#This Row],[failedGrid]])</calculatedColumnFormula>
    </tableColumn>
    <tableColumn id="39" xr3:uid="{7AB9A562-F44B-409E-B778-7CFE777E03C5}" name="FailedCubes" dataDxfId="3">
      <calculatedColumnFormula>getCubeCount(ScoutingData[[#This Row],[failedGrid]])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zoomScale="85" zoomScaleNormal="85" workbookViewId="0">
      <selection activeCell="K14" sqref="K14"/>
    </sheetView>
  </sheetViews>
  <sheetFormatPr defaultColWidth="9.28515625" defaultRowHeight="18" customHeight="1"/>
  <cols>
    <col min="1" max="1" width="11.28515625" style="7" customWidth="1"/>
    <col min="2" max="2" width="14.140625" style="7" customWidth="1"/>
    <col min="3" max="4" width="13.7109375" style="7" customWidth="1"/>
    <col min="5" max="5" width="9.28515625" style="7"/>
    <col min="6" max="6" width="11.28515625" style="7" customWidth="1"/>
    <col min="7" max="7" width="9.28515625" style="7"/>
    <col min="8" max="8" width="13.7109375" style="7" customWidth="1"/>
    <col min="9" max="9" width="9.28515625" style="7"/>
    <col min="10" max="11" width="9.28515625" style="7" customWidth="1"/>
    <col min="12" max="16384" width="9.28515625" style="7"/>
  </cols>
  <sheetData>
    <row r="1" spans="1:21" ht="76.900000000000006" customHeight="1">
      <c r="A1" s="1" t="s">
        <v>53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" customHeight="1">
      <c r="A2" s="8"/>
      <c r="B2" s="22"/>
      <c r="C2" s="9"/>
      <c r="D2" s="10"/>
      <c r="E2" s="11" t="s">
        <v>54</v>
      </c>
      <c r="F2" s="12"/>
      <c r="G2" s="12"/>
      <c r="H2" s="12"/>
      <c r="I2" s="12"/>
      <c r="J2" s="12"/>
      <c r="K2" s="13"/>
    </row>
    <row r="3" spans="1:21" ht="18.600000000000001" customHeight="1">
      <c r="A3" s="14"/>
      <c r="C3" s="15"/>
      <c r="E3" s="16"/>
      <c r="G3" s="10"/>
      <c r="H3" s="10"/>
      <c r="N3" s="20"/>
    </row>
    <row r="5" spans="1:21" ht="18" customHeight="1">
      <c r="F5" s="17"/>
      <c r="G5" s="17"/>
    </row>
    <row r="6" spans="1:21" ht="18" customHeight="1">
      <c r="F6" s="18"/>
      <c r="G6"/>
    </row>
    <row r="7" spans="1:21" ht="18" customHeight="1">
      <c r="M7" s="7" t="s">
        <v>15</v>
      </c>
    </row>
    <row r="13" spans="1:21" ht="18" customHeight="1">
      <c r="S13" s="13"/>
    </row>
    <row r="16" spans="1:21" ht="18" customHeight="1">
      <c r="U16" s="20"/>
    </row>
    <row r="75" spans="12:12" ht="18" customHeight="1">
      <c r="L75" s="7" t="s">
        <v>17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5"/>
  <cols>
    <col min="2" max="13" width="6.85546875" customWidth="1"/>
  </cols>
  <sheetData>
    <row r="1" spans="2:13" ht="30" customHeight="1"/>
    <row r="2" spans="2:13" ht="40.15" customHeight="1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15" customHeight="1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15" customHeight="1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15" customHeight="1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15" customHeight="1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15" customHeight="1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>
      <c r="D11" s="19"/>
    </row>
    <row r="12" spans="2:13">
      <c r="D12" s="19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BQ2"/>
  <sheetViews>
    <sheetView tabSelected="1" zoomScaleNormal="100" workbookViewId="0">
      <selection activeCell="H22" sqref="H22"/>
    </sheetView>
  </sheetViews>
  <sheetFormatPr defaultColWidth="14.42578125" defaultRowHeight="15"/>
  <cols>
    <col min="2" max="2" width="14.28515625" customWidth="1"/>
    <col min="3" max="3" width="14.28515625" hidden="1" customWidth="1"/>
    <col min="4" max="6" width="14.42578125" customWidth="1"/>
    <col min="11" max="11" width="14.85546875" bestFit="1" customWidth="1"/>
    <col min="12" max="12" width="15.7109375" bestFit="1" customWidth="1"/>
    <col min="13" max="13" width="16.42578125" bestFit="1" customWidth="1"/>
    <col min="14" max="14" width="16.42578125" customWidth="1"/>
    <col min="15" max="15" width="13.140625" customWidth="1"/>
    <col min="16" max="17" width="16.28515625" customWidth="1"/>
    <col min="18" max="18" width="0" hidden="1" customWidth="1"/>
    <col min="19" max="19" width="14.5703125" customWidth="1"/>
    <col min="20" max="20" width="13.42578125" customWidth="1"/>
    <col min="21" max="21" width="16.42578125" hidden="1" customWidth="1"/>
    <col min="22" max="22" width="14.7109375" hidden="1" customWidth="1"/>
    <col min="25" max="25" width="13.42578125" customWidth="1"/>
    <col min="27" max="27" width="16.42578125" customWidth="1"/>
    <col min="28" max="28" width="18.5703125" hidden="1" customWidth="1"/>
    <col min="29" max="29" width="0" hidden="1" customWidth="1"/>
    <col min="30" max="30" width="18.5703125" hidden="1" customWidth="1"/>
    <col min="31" max="31" width="11.85546875" bestFit="1" customWidth="1"/>
    <col min="32" max="32" width="15.28515625" customWidth="1"/>
    <col min="33" max="33" width="0" hidden="1" customWidth="1"/>
    <col min="34" max="35" width="18.5703125" hidden="1" customWidth="1"/>
    <col min="36" max="36" width="18.5703125" customWidth="1"/>
    <col min="37" max="37" width="16.5703125" customWidth="1"/>
    <col min="38" max="38" width="18.5703125" customWidth="1"/>
    <col min="40" max="40" width="18.5703125" customWidth="1"/>
    <col min="41" max="42" width="14.42578125" customWidth="1"/>
    <col min="43" max="43" width="18.5703125" customWidth="1"/>
    <col min="44" max="44" width="14.42578125" hidden="1" customWidth="1"/>
    <col min="45" max="45" width="15.28515625" hidden="1" customWidth="1"/>
    <col min="46" max="46" width="14.5703125" hidden="1" customWidth="1"/>
    <col min="47" max="47" width="18.42578125" hidden="1" customWidth="1"/>
    <col min="48" max="48" width="15.42578125" hidden="1" customWidth="1"/>
    <col min="49" max="49" width="12.7109375" bestFit="1" customWidth="1"/>
    <col min="50" max="50" width="16.28515625" bestFit="1" customWidth="1"/>
    <col min="51" max="51" width="13.42578125" customWidth="1"/>
    <col min="52" max="52" width="18.5703125" customWidth="1"/>
    <col min="54" max="54" width="13.42578125" customWidth="1"/>
    <col min="55" max="55" width="0" hidden="1" customWidth="1"/>
    <col min="57" max="57" width="19" customWidth="1"/>
    <col min="58" max="58" width="11" customWidth="1"/>
    <col min="61" max="62" width="12.140625" customWidth="1"/>
    <col min="67" max="67" width="14.42578125" customWidth="1"/>
    <col min="70" max="3791" width="14.42578125" customWidth="1"/>
  </cols>
  <sheetData>
    <row r="1" spans="1:69" ht="15" customHeight="1">
      <c r="A1" t="s">
        <v>2</v>
      </c>
      <c r="B1" t="s">
        <v>70</v>
      </c>
      <c r="C1" t="s">
        <v>3</v>
      </c>
      <c r="D1" t="s">
        <v>5</v>
      </c>
      <c r="E1" t="s">
        <v>7</v>
      </c>
      <c r="F1" t="s">
        <v>6</v>
      </c>
      <c r="G1" t="s">
        <v>4</v>
      </c>
      <c r="H1" t="s">
        <v>8</v>
      </c>
      <c r="I1" t="s">
        <v>20</v>
      </c>
      <c r="J1" t="s">
        <v>75</v>
      </c>
      <c r="K1" t="s">
        <v>18</v>
      </c>
      <c r="L1" t="s">
        <v>96</v>
      </c>
      <c r="M1" t="s">
        <v>94</v>
      </c>
      <c r="N1" t="s">
        <v>95</v>
      </c>
      <c r="O1" t="s">
        <v>19</v>
      </c>
      <c r="P1" t="s">
        <v>22</v>
      </c>
      <c r="Q1" t="s">
        <v>90</v>
      </c>
      <c r="R1" t="s">
        <v>76</v>
      </c>
      <c r="S1" t="s">
        <v>33</v>
      </c>
      <c r="T1" t="s">
        <v>24</v>
      </c>
      <c r="U1" t="s">
        <v>23</v>
      </c>
      <c r="V1" t="s">
        <v>26</v>
      </c>
      <c r="W1" t="s">
        <v>27</v>
      </c>
      <c r="X1" t="s">
        <v>78</v>
      </c>
      <c r="Y1" t="s">
        <v>79</v>
      </c>
      <c r="Z1" t="s">
        <v>80</v>
      </c>
      <c r="AA1" t="s">
        <v>81</v>
      </c>
      <c r="AB1" t="s">
        <v>82</v>
      </c>
      <c r="AC1" t="s">
        <v>83</v>
      </c>
      <c r="AD1" t="s">
        <v>84</v>
      </c>
      <c r="AE1" t="s">
        <v>29</v>
      </c>
      <c r="AF1" t="s">
        <v>30</v>
      </c>
      <c r="AG1" t="s">
        <v>11</v>
      </c>
      <c r="AH1" t="s">
        <v>25</v>
      </c>
      <c r="AI1" t="s">
        <v>10</v>
      </c>
      <c r="AJ1" t="s">
        <v>85</v>
      </c>
      <c r="AK1" t="s">
        <v>9</v>
      </c>
      <c r="AL1" t="s">
        <v>14</v>
      </c>
      <c r="AM1" t="s">
        <v>86</v>
      </c>
      <c r="AN1" t="s">
        <v>32</v>
      </c>
      <c r="AO1" t="s">
        <v>87</v>
      </c>
      <c r="AP1" t="s">
        <v>13</v>
      </c>
      <c r="AQ1" t="s">
        <v>12</v>
      </c>
      <c r="AR1" t="s">
        <v>31</v>
      </c>
      <c r="AS1" t="s">
        <v>21</v>
      </c>
      <c r="AT1" t="s">
        <v>28</v>
      </c>
      <c r="AU1" t="s">
        <v>34</v>
      </c>
      <c r="AV1" t="s">
        <v>1</v>
      </c>
      <c r="AW1" t="s">
        <v>35</v>
      </c>
      <c r="AX1" t="s">
        <v>36</v>
      </c>
      <c r="AY1" t="s">
        <v>37</v>
      </c>
      <c r="AZ1" t="s">
        <v>38</v>
      </c>
      <c r="BA1" t="s">
        <v>39</v>
      </c>
      <c r="BB1" t="s">
        <v>40</v>
      </c>
      <c r="BC1" t="s">
        <v>41</v>
      </c>
      <c r="BD1" t="s">
        <v>91</v>
      </c>
      <c r="BE1" t="s">
        <v>42</v>
      </c>
      <c r="BF1" t="s">
        <v>43</v>
      </c>
      <c r="BG1" t="s">
        <v>44</v>
      </c>
      <c r="BH1" t="s">
        <v>45</v>
      </c>
      <c r="BI1" t="s">
        <v>46</v>
      </c>
      <c r="BJ1" t="s">
        <v>47</v>
      </c>
      <c r="BK1" t="s">
        <v>48</v>
      </c>
      <c r="BL1" t="s">
        <v>49</v>
      </c>
      <c r="BM1" t="s">
        <v>50</v>
      </c>
      <c r="BN1" t="s">
        <v>51</v>
      </c>
      <c r="BO1" t="s">
        <v>52</v>
      </c>
      <c r="BP1" t="s">
        <v>93</v>
      </c>
      <c r="BQ1" t="s">
        <v>92</v>
      </c>
    </row>
    <row r="2" spans="1:69">
      <c r="A2" t="s">
        <v>71</v>
      </c>
      <c r="B2">
        <v>0</v>
      </c>
      <c r="C2" t="s">
        <v>72</v>
      </c>
      <c r="D2" t="s">
        <v>0</v>
      </c>
      <c r="E2">
        <v>1</v>
      </c>
      <c r="F2" t="s">
        <v>73</v>
      </c>
      <c r="G2">
        <v>3176</v>
      </c>
      <c r="H2">
        <v>38</v>
      </c>
      <c r="I2" t="s">
        <v>74</v>
      </c>
      <c r="J2">
        <v>1</v>
      </c>
      <c r="K2">
        <v>1</v>
      </c>
      <c r="O2">
        <v>0</v>
      </c>
      <c r="P2" t="s">
        <v>77</v>
      </c>
      <c r="Q2" t="s">
        <v>74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1</v>
      </c>
      <c r="AC2">
        <v>1</v>
      </c>
      <c r="AD2">
        <v>1</v>
      </c>
      <c r="AE2">
        <v>2</v>
      </c>
      <c r="AF2">
        <v>0</v>
      </c>
      <c r="AG2">
        <v>0</v>
      </c>
      <c r="AI2">
        <v>1</v>
      </c>
      <c r="AJ2" t="s">
        <v>88</v>
      </c>
      <c r="AK2">
        <v>0</v>
      </c>
      <c r="AL2">
        <v>3</v>
      </c>
      <c r="AM2">
        <v>1</v>
      </c>
      <c r="AN2">
        <v>0</v>
      </c>
      <c r="AO2">
        <v>0</v>
      </c>
      <c r="AP2">
        <v>1</v>
      </c>
      <c r="AQ2" t="s">
        <v>89</v>
      </c>
      <c r="AV2" t="str">
        <f>ScoutingData[[#This Row],[eventCode]]&amp;"_"&amp;ScoutingData[[#This Row],[matchLevel]]&amp;ScoutingData[[#This Row],[matchNumber]]</f>
        <v>2023inwla_qm1</v>
      </c>
      <c r="AW2">
        <f>getTotalCount(ScoutingData[[#This Row],[autoScoredGrid]])</f>
        <v>0</v>
      </c>
      <c r="AX2">
        <f>getCubeCount(ScoutingData[[#This Row],[autoScoredGrid]])</f>
        <v>0</v>
      </c>
      <c r="AY2">
        <f>getConeCount(ScoutingData[[#This Row],[autoScoredGrid]])</f>
        <v>0</v>
      </c>
      <c r="AZ2">
        <f>getHighCount(ScoutingData[[#This Row],[autoScoredGrid]])</f>
        <v>0</v>
      </c>
      <c r="BA2">
        <f>getMedCount(ScoutingData[[#This Row],[autoScoredGrid]])</f>
        <v>0</v>
      </c>
      <c r="BB2">
        <f>getLowCount(ScoutingData[[#This Row],[autoScoredGrid]])</f>
        <v>0</v>
      </c>
      <c r="BC2">
        <f>getTotalCount(ScoutingData[[#This Row],[scoredGrid]])</f>
        <v>4</v>
      </c>
      <c r="BD2">
        <f>getTotalCount(ScoutingData[[#This Row],[failedGrid]])</f>
        <v>0</v>
      </c>
      <c r="BE2">
        <f>getCubeCount(ScoutingData[[#This Row],[scoredGrid]])</f>
        <v>2</v>
      </c>
      <c r="BF2">
        <f>getConeCount(ScoutingData[[#This Row],[scoredGrid]])</f>
        <v>2</v>
      </c>
      <c r="BG2">
        <f>getHighCount(ScoutingData[[#This Row],[scoredGrid]])</f>
        <v>2</v>
      </c>
      <c r="BH2">
        <f>getMedCount(ScoutingData[[#This Row],[scoredGrid]])</f>
        <v>2</v>
      </c>
      <c r="BI2">
        <f>getLowCount(ScoutingData[[#This Row],[scoredGrid]])</f>
        <v>0</v>
      </c>
      <c r="BJ2">
        <f>ScoutingData[[#This Row],[autoGamePieces]]+ScoutingData[[#This Row],[teleopGamePieces]]</f>
        <v>4</v>
      </c>
      <c r="BK2">
        <f>ScoutingData[[#This Row],[autoCubes]]+ScoutingData[[#This Row],[teleopCubes]]</f>
        <v>2</v>
      </c>
      <c r="BL2">
        <f>ScoutingData[[#This Row],[autoCones]]+ScoutingData[[#This Row],[teleopCones]]</f>
        <v>2</v>
      </c>
      <c r="BM2">
        <f>ScoutingData[[#This Row],[autoHigh]]+ScoutingData[[#This Row],[teleopHigh]]</f>
        <v>2</v>
      </c>
      <c r="BN2">
        <f>ScoutingData[[#This Row],[autoMed]]+ScoutingData[[#This Row],[teleopMed]]</f>
        <v>2</v>
      </c>
      <c r="BO2">
        <f>ScoutingData[[#This Row],[autoLow]]+ScoutingData[[#This Row],[teleopLow]]</f>
        <v>0</v>
      </c>
      <c r="BP2">
        <f>getConeCount(ScoutingData[[#This Row],[failedGrid]])</f>
        <v>0</v>
      </c>
      <c r="BQ2">
        <f>getCubeCount(ScoutingData[[#This Row],[failedGrid]])</f>
        <v>0</v>
      </c>
    </row>
  </sheetData>
  <sheetProtection selectLockedCells="1"/>
  <phoneticPr fontId="15" type="noConversion"/>
  <conditionalFormatting sqref="I1:J1 K3:O1048576">
    <cfRule type="expression" dxfId="1" priority="7">
      <formula>INDIRECT("ScoutingData[@taxi]")&lt;&gt;LEFT(INDIRECT("ScoutingData[@apiTaxi]"),1)</formula>
    </cfRule>
  </conditionalFormatting>
  <conditionalFormatting sqref="AH1:AI1 Y3:Y1048576">
    <cfRule type="expression" dxfId="0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2"/>
  <sheetViews>
    <sheetView workbookViewId="0">
      <selection activeCell="E5" sqref="E5"/>
    </sheetView>
  </sheetViews>
  <sheetFormatPr defaultRowHeight="15"/>
  <cols>
    <col min="1" max="1" width="14.140625" customWidth="1"/>
    <col min="2" max="2" width="7.7109375" customWidth="1"/>
    <col min="3" max="3" width="8.5703125" customWidth="1"/>
    <col min="4" max="4" width="11" customWidth="1"/>
    <col min="5" max="5" width="15.7109375" customWidth="1"/>
    <col min="6" max="6" width="13.140625" customWidth="1"/>
    <col min="7" max="8" width="16.28515625" customWidth="1"/>
    <col min="9" max="10" width="17.85546875" customWidth="1"/>
    <col min="11" max="11" width="20.5703125" customWidth="1"/>
    <col min="12" max="12" width="32.42578125" bestFit="1" customWidth="1"/>
  </cols>
  <sheetData>
    <row r="1" spans="1:12">
      <c r="A1" t="s">
        <v>4</v>
      </c>
      <c r="B1" t="s">
        <v>55</v>
      </c>
      <c r="C1" t="s">
        <v>56</v>
      </c>
      <c r="D1" t="s">
        <v>57</v>
      </c>
      <c r="E1" t="s">
        <v>58</v>
      </c>
      <c r="F1" t="s">
        <v>59</v>
      </c>
      <c r="G1" t="s">
        <v>60</v>
      </c>
      <c r="H1" t="s">
        <v>69</v>
      </c>
      <c r="I1" t="s">
        <v>61</v>
      </c>
      <c r="J1" t="s">
        <v>62</v>
      </c>
      <c r="K1" t="s">
        <v>67</v>
      </c>
      <c r="L1" t="s">
        <v>63</v>
      </c>
    </row>
    <row r="2" spans="1:12">
      <c r="A2">
        <v>2451</v>
      </c>
      <c r="B2">
        <v>120</v>
      </c>
      <c r="C2">
        <v>120</v>
      </c>
      <c r="D2" t="s">
        <v>64</v>
      </c>
      <c r="F2" t="s">
        <v>16</v>
      </c>
      <c r="G2" t="s">
        <v>65</v>
      </c>
      <c r="H2">
        <v>12</v>
      </c>
      <c r="I2" t="s">
        <v>66</v>
      </c>
      <c r="J2" t="s">
        <v>66</v>
      </c>
      <c r="K2" t="s">
        <v>66</v>
      </c>
      <c r="L2" t="s">
        <v>68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Image Maps</vt:lpstr>
      <vt:lpstr>Match Scouting Data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Jonathan</cp:lastModifiedBy>
  <cp:lastPrinted>2022-10-13T02:17:35Z</cp:lastPrinted>
  <dcterms:created xsi:type="dcterms:W3CDTF">2020-02-08T00:47:28Z</dcterms:created>
  <dcterms:modified xsi:type="dcterms:W3CDTF">2023-04-04T21:16:26Z</dcterms:modified>
</cp:coreProperties>
</file>