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60"/>
  </bookViews>
  <sheets>
    <sheet name="Winch specification" sheetId="1" r:id="rId1"/>
    <sheet name="Winch Design" sheetId="4" r:id="rId2"/>
    <sheet name="2013" sheetId="8" r:id="rId3"/>
    <sheet name="Efficiency curve" sheetId="9" r:id="rId4"/>
  </sheets>
  <definedNames>
    <definedName name="_xlnm.Print_Area" localSheetId="2">'2013'!$A$1:$J$24</definedName>
  </definedName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9" l="1"/>
  <c r="D7" i="9"/>
  <c r="C8" i="9"/>
  <c r="D8" i="9"/>
  <c r="C9" i="9"/>
  <c r="D9" i="9"/>
  <c r="C10" i="9"/>
  <c r="D10" i="9"/>
  <c r="C11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6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6" i="9"/>
  <c r="C7" i="8"/>
  <c r="C8" i="8"/>
  <c r="C9" i="8"/>
  <c r="C10" i="8"/>
  <c r="C11" i="8"/>
  <c r="C12" i="8"/>
  <c r="C13" i="8"/>
  <c r="C14" i="8"/>
  <c r="C15" i="8"/>
  <c r="C16" i="8"/>
  <c r="C17" i="8"/>
  <c r="C5" i="8"/>
  <c r="C23" i="8"/>
  <c r="C24" i="8"/>
  <c r="C4" i="8"/>
  <c r="C6" i="8"/>
  <c r="C18" i="8"/>
  <c r="C19" i="8"/>
  <c r="C20" i="8"/>
  <c r="C22" i="8"/>
  <c r="C21" i="8"/>
  <c r="AB21" i="8"/>
  <c r="AC21" i="8"/>
  <c r="AD21" i="8"/>
  <c r="M21" i="8"/>
  <c r="O21" i="8"/>
  <c r="AE21" i="8"/>
  <c r="L21" i="8"/>
  <c r="AF21" i="8"/>
  <c r="AG21" i="8"/>
  <c r="N21" i="8"/>
  <c r="AH21" i="8"/>
  <c r="AI21" i="8"/>
  <c r="W21" i="8"/>
  <c r="Z21" i="8"/>
  <c r="AA21" i="8"/>
  <c r="X21" i="8"/>
  <c r="Y21" i="8"/>
  <c r="V21" i="8"/>
  <c r="S21" i="8"/>
  <c r="Q21" i="8"/>
  <c r="U21" i="8"/>
  <c r="T21" i="8"/>
  <c r="R21" i="8"/>
  <c r="P21" i="8"/>
  <c r="AB22" i="8"/>
  <c r="AC22" i="8"/>
  <c r="AD22" i="8"/>
  <c r="M22" i="8"/>
  <c r="O22" i="8"/>
  <c r="AE22" i="8"/>
  <c r="L22" i="8"/>
  <c r="AF22" i="8"/>
  <c r="AG22" i="8"/>
  <c r="N22" i="8"/>
  <c r="AH22" i="8"/>
  <c r="AI22" i="8"/>
  <c r="W22" i="8"/>
  <c r="Z22" i="8"/>
  <c r="AA22" i="8"/>
  <c r="X22" i="8"/>
  <c r="Y22" i="8"/>
  <c r="V22" i="8"/>
  <c r="S22" i="8"/>
  <c r="Q22" i="8"/>
  <c r="U22" i="8"/>
  <c r="T22" i="8"/>
  <c r="R22" i="8"/>
  <c r="P22" i="8"/>
  <c r="AB20" i="8"/>
  <c r="AC20" i="8"/>
  <c r="AD20" i="8"/>
  <c r="M20" i="8"/>
  <c r="O20" i="8"/>
  <c r="AE20" i="8"/>
  <c r="L20" i="8"/>
  <c r="AF20" i="8"/>
  <c r="AG20" i="8"/>
  <c r="N20" i="8"/>
  <c r="AH20" i="8"/>
  <c r="AI20" i="8"/>
  <c r="W20" i="8"/>
  <c r="Z20" i="8"/>
  <c r="AA20" i="8"/>
  <c r="X20" i="8"/>
  <c r="Y20" i="8"/>
  <c r="V20" i="8"/>
  <c r="S20" i="8"/>
  <c r="Q20" i="8"/>
  <c r="U20" i="8"/>
  <c r="T20" i="8"/>
  <c r="R20" i="8"/>
  <c r="P20" i="8"/>
  <c r="AB19" i="8"/>
  <c r="AC19" i="8"/>
  <c r="AD19" i="8"/>
  <c r="M19" i="8"/>
  <c r="O19" i="8"/>
  <c r="AE19" i="8"/>
  <c r="L19" i="8"/>
  <c r="AF19" i="8"/>
  <c r="AG19" i="8"/>
  <c r="N19" i="8"/>
  <c r="AH19" i="8"/>
  <c r="AI19" i="8"/>
  <c r="W19" i="8"/>
  <c r="Z19" i="8"/>
  <c r="AA19" i="8"/>
  <c r="X19" i="8"/>
  <c r="Y19" i="8"/>
  <c r="V19" i="8"/>
  <c r="S19" i="8"/>
  <c r="Q19" i="8"/>
  <c r="U19" i="8"/>
  <c r="T19" i="8"/>
  <c r="R19" i="8"/>
  <c r="P19" i="8"/>
  <c r="AB18" i="8"/>
  <c r="AC18" i="8"/>
  <c r="AD18" i="8"/>
  <c r="M18" i="8"/>
  <c r="O18" i="8"/>
  <c r="AE18" i="8"/>
  <c r="L18" i="8"/>
  <c r="AF18" i="8"/>
  <c r="AG18" i="8"/>
  <c r="N18" i="8"/>
  <c r="AH18" i="8"/>
  <c r="AI18" i="8"/>
  <c r="W18" i="8"/>
  <c r="Z18" i="8"/>
  <c r="AA18" i="8"/>
  <c r="X18" i="8"/>
  <c r="Y18" i="8"/>
  <c r="V18" i="8"/>
  <c r="S18" i="8"/>
  <c r="Q18" i="8"/>
  <c r="U18" i="8"/>
  <c r="T18" i="8"/>
  <c r="R18" i="8"/>
  <c r="P18" i="8"/>
  <c r="AB6" i="8"/>
  <c r="AC6" i="8"/>
  <c r="AD6" i="8"/>
  <c r="M6" i="8"/>
  <c r="O6" i="8"/>
  <c r="AE6" i="8"/>
  <c r="L6" i="8"/>
  <c r="AF6" i="8"/>
  <c r="AG6" i="8"/>
  <c r="N6" i="8"/>
  <c r="AH6" i="8"/>
  <c r="AI6" i="8"/>
  <c r="W6" i="8"/>
  <c r="Z6" i="8"/>
  <c r="AA6" i="8"/>
  <c r="X6" i="8"/>
  <c r="Y6" i="8"/>
  <c r="V6" i="8"/>
  <c r="S6" i="8"/>
  <c r="Q6" i="8"/>
  <c r="U6" i="8"/>
  <c r="T6" i="8"/>
  <c r="R6" i="8"/>
  <c r="P6" i="8"/>
  <c r="AB4" i="8"/>
  <c r="AC4" i="8"/>
  <c r="AD4" i="8"/>
  <c r="M4" i="8"/>
  <c r="O4" i="8"/>
  <c r="AE4" i="8"/>
  <c r="L4" i="8"/>
  <c r="AF4" i="8"/>
  <c r="AG4" i="8"/>
  <c r="N4" i="8"/>
  <c r="AH4" i="8"/>
  <c r="AI4" i="8"/>
  <c r="W4" i="8"/>
  <c r="Z4" i="8"/>
  <c r="AA4" i="8"/>
  <c r="X4" i="8"/>
  <c r="Y4" i="8"/>
  <c r="V4" i="8"/>
  <c r="S4" i="8"/>
  <c r="Q4" i="8"/>
  <c r="U4" i="8"/>
  <c r="T4" i="8"/>
  <c r="R4" i="8"/>
  <c r="P4" i="8"/>
  <c r="AB24" i="8"/>
  <c r="AC24" i="8"/>
  <c r="AD24" i="8"/>
  <c r="M24" i="8"/>
  <c r="O24" i="8"/>
  <c r="AE24" i="8"/>
  <c r="L24" i="8"/>
  <c r="AF24" i="8"/>
  <c r="AG24" i="8"/>
  <c r="N24" i="8"/>
  <c r="AH24" i="8"/>
  <c r="AI24" i="8"/>
  <c r="W24" i="8"/>
  <c r="Z24" i="8"/>
  <c r="AA24" i="8"/>
  <c r="X24" i="8"/>
  <c r="Y24" i="8"/>
  <c r="V24" i="8"/>
  <c r="S24" i="8"/>
  <c r="Q24" i="8"/>
  <c r="U24" i="8"/>
  <c r="T24" i="8"/>
  <c r="R24" i="8"/>
  <c r="P24" i="8"/>
  <c r="AB23" i="8"/>
  <c r="AC23" i="8"/>
  <c r="AD23" i="8"/>
  <c r="M23" i="8"/>
  <c r="O23" i="8"/>
  <c r="AE23" i="8"/>
  <c r="L23" i="8"/>
  <c r="AF23" i="8"/>
  <c r="AG23" i="8"/>
  <c r="N23" i="8"/>
  <c r="AH23" i="8"/>
  <c r="AI23" i="8"/>
  <c r="W23" i="8"/>
  <c r="Z23" i="8"/>
  <c r="AA23" i="8"/>
  <c r="X23" i="8"/>
  <c r="Y23" i="8"/>
  <c r="V23" i="8"/>
  <c r="S23" i="8"/>
  <c r="Q23" i="8"/>
  <c r="U23" i="8"/>
  <c r="T23" i="8"/>
  <c r="R23" i="8"/>
  <c r="P23" i="8"/>
  <c r="AB5" i="8"/>
  <c r="AC5" i="8"/>
  <c r="AD5" i="8"/>
  <c r="M5" i="8"/>
  <c r="O5" i="8"/>
  <c r="AE5" i="8"/>
  <c r="L5" i="8"/>
  <c r="AF5" i="8"/>
  <c r="AG5" i="8"/>
  <c r="N5" i="8"/>
  <c r="AH5" i="8"/>
  <c r="AI5" i="8"/>
  <c r="W5" i="8"/>
  <c r="Z5" i="8"/>
  <c r="AA5" i="8"/>
  <c r="X5" i="8"/>
  <c r="Y5" i="8"/>
  <c r="V5" i="8"/>
  <c r="S5" i="8"/>
  <c r="Q5" i="8"/>
  <c r="U5" i="8"/>
  <c r="T5" i="8"/>
  <c r="R5" i="8"/>
  <c r="P5" i="8"/>
  <c r="AB17" i="8"/>
  <c r="AC17" i="8"/>
  <c r="AD17" i="8"/>
  <c r="M17" i="8"/>
  <c r="O17" i="8"/>
  <c r="AE17" i="8"/>
  <c r="L17" i="8"/>
  <c r="AF17" i="8"/>
  <c r="AG17" i="8"/>
  <c r="N17" i="8"/>
  <c r="AH17" i="8"/>
  <c r="AI17" i="8"/>
  <c r="W17" i="8"/>
  <c r="Z17" i="8"/>
  <c r="AA17" i="8"/>
  <c r="X17" i="8"/>
  <c r="Y17" i="8"/>
  <c r="V17" i="8"/>
  <c r="S17" i="8"/>
  <c r="Q17" i="8"/>
  <c r="U17" i="8"/>
  <c r="T17" i="8"/>
  <c r="R17" i="8"/>
  <c r="P17" i="8"/>
  <c r="AB16" i="8"/>
  <c r="AC16" i="8"/>
  <c r="AD16" i="8"/>
  <c r="M16" i="8"/>
  <c r="O16" i="8"/>
  <c r="AE16" i="8"/>
  <c r="L16" i="8"/>
  <c r="AF16" i="8"/>
  <c r="AG16" i="8"/>
  <c r="N16" i="8"/>
  <c r="AH16" i="8"/>
  <c r="AI16" i="8"/>
  <c r="W16" i="8"/>
  <c r="Z16" i="8"/>
  <c r="AA16" i="8"/>
  <c r="X16" i="8"/>
  <c r="Y16" i="8"/>
  <c r="V16" i="8"/>
  <c r="S16" i="8"/>
  <c r="Q16" i="8"/>
  <c r="U16" i="8"/>
  <c r="T16" i="8"/>
  <c r="R16" i="8"/>
  <c r="P16" i="8"/>
  <c r="AB15" i="8"/>
  <c r="AC15" i="8"/>
  <c r="AD15" i="8"/>
  <c r="M15" i="8"/>
  <c r="O15" i="8"/>
  <c r="AE15" i="8"/>
  <c r="L15" i="8"/>
  <c r="AF15" i="8"/>
  <c r="AG15" i="8"/>
  <c r="N15" i="8"/>
  <c r="AH15" i="8"/>
  <c r="AI15" i="8"/>
  <c r="W15" i="8"/>
  <c r="Z15" i="8"/>
  <c r="AA15" i="8"/>
  <c r="X15" i="8"/>
  <c r="Y15" i="8"/>
  <c r="V15" i="8"/>
  <c r="S15" i="8"/>
  <c r="Q15" i="8"/>
  <c r="U15" i="8"/>
  <c r="T15" i="8"/>
  <c r="R15" i="8"/>
  <c r="P15" i="8"/>
  <c r="AB14" i="8"/>
  <c r="AC14" i="8"/>
  <c r="AD14" i="8"/>
  <c r="M14" i="8"/>
  <c r="O14" i="8"/>
  <c r="AE14" i="8"/>
  <c r="L14" i="8"/>
  <c r="AF14" i="8"/>
  <c r="AG14" i="8"/>
  <c r="N14" i="8"/>
  <c r="AH14" i="8"/>
  <c r="AI14" i="8"/>
  <c r="W14" i="8"/>
  <c r="Z14" i="8"/>
  <c r="AA14" i="8"/>
  <c r="X14" i="8"/>
  <c r="Y14" i="8"/>
  <c r="V14" i="8"/>
  <c r="S14" i="8"/>
  <c r="Q14" i="8"/>
  <c r="U14" i="8"/>
  <c r="T14" i="8"/>
  <c r="R14" i="8"/>
  <c r="P14" i="8"/>
  <c r="AB13" i="8"/>
  <c r="AC13" i="8"/>
  <c r="AD13" i="8"/>
  <c r="M13" i="8"/>
  <c r="O13" i="8"/>
  <c r="AE13" i="8"/>
  <c r="L13" i="8"/>
  <c r="AF13" i="8"/>
  <c r="AG13" i="8"/>
  <c r="N13" i="8"/>
  <c r="AH13" i="8"/>
  <c r="AI13" i="8"/>
  <c r="W13" i="8"/>
  <c r="Z13" i="8"/>
  <c r="AA13" i="8"/>
  <c r="X13" i="8"/>
  <c r="Y13" i="8"/>
  <c r="V13" i="8"/>
  <c r="S13" i="8"/>
  <c r="Q13" i="8"/>
  <c r="U13" i="8"/>
  <c r="T13" i="8"/>
  <c r="R13" i="8"/>
  <c r="P13" i="8"/>
  <c r="AB12" i="8"/>
  <c r="AC12" i="8"/>
  <c r="AD12" i="8"/>
  <c r="M12" i="8"/>
  <c r="O12" i="8"/>
  <c r="AE12" i="8"/>
  <c r="L12" i="8"/>
  <c r="AF12" i="8"/>
  <c r="AG12" i="8"/>
  <c r="N12" i="8"/>
  <c r="AH12" i="8"/>
  <c r="AI12" i="8"/>
  <c r="W12" i="8"/>
  <c r="Z12" i="8"/>
  <c r="AA12" i="8"/>
  <c r="X12" i="8"/>
  <c r="Y12" i="8"/>
  <c r="V12" i="8"/>
  <c r="S12" i="8"/>
  <c r="Q12" i="8"/>
  <c r="U12" i="8"/>
  <c r="T12" i="8"/>
  <c r="R12" i="8"/>
  <c r="P12" i="8"/>
  <c r="AB11" i="8"/>
  <c r="AC11" i="8"/>
  <c r="AD11" i="8"/>
  <c r="M11" i="8"/>
  <c r="O11" i="8"/>
  <c r="AE11" i="8"/>
  <c r="L11" i="8"/>
  <c r="AF11" i="8"/>
  <c r="AG11" i="8"/>
  <c r="N11" i="8"/>
  <c r="AH11" i="8"/>
  <c r="AI11" i="8"/>
  <c r="W11" i="8"/>
  <c r="Z11" i="8"/>
  <c r="AA11" i="8"/>
  <c r="X11" i="8"/>
  <c r="Y11" i="8"/>
  <c r="V11" i="8"/>
  <c r="S11" i="8"/>
  <c r="Q11" i="8"/>
  <c r="U11" i="8"/>
  <c r="T11" i="8"/>
  <c r="R11" i="8"/>
  <c r="P11" i="8"/>
  <c r="AB10" i="8"/>
  <c r="AC10" i="8"/>
  <c r="AD10" i="8"/>
  <c r="M10" i="8"/>
  <c r="O10" i="8"/>
  <c r="AE10" i="8"/>
  <c r="L10" i="8"/>
  <c r="AF10" i="8"/>
  <c r="AG10" i="8"/>
  <c r="N10" i="8"/>
  <c r="AH10" i="8"/>
  <c r="AI10" i="8"/>
  <c r="W10" i="8"/>
  <c r="Z10" i="8"/>
  <c r="AA10" i="8"/>
  <c r="X10" i="8"/>
  <c r="Y10" i="8"/>
  <c r="V10" i="8"/>
  <c r="S10" i="8"/>
  <c r="Q10" i="8"/>
  <c r="U10" i="8"/>
  <c r="T10" i="8"/>
  <c r="J10" i="8"/>
  <c r="R10" i="8"/>
  <c r="P10" i="8"/>
  <c r="AB9" i="8"/>
  <c r="AC9" i="8"/>
  <c r="AD9" i="8"/>
  <c r="M9" i="8"/>
  <c r="O9" i="8"/>
  <c r="AE9" i="8"/>
  <c r="L9" i="8"/>
  <c r="AF9" i="8"/>
  <c r="AG9" i="8"/>
  <c r="N9" i="8"/>
  <c r="AH9" i="8"/>
  <c r="AI9" i="8"/>
  <c r="W9" i="8"/>
  <c r="Z9" i="8"/>
  <c r="AA9" i="8"/>
  <c r="X9" i="8"/>
  <c r="Y9" i="8"/>
  <c r="V9" i="8"/>
  <c r="S9" i="8"/>
  <c r="Q9" i="8"/>
  <c r="U9" i="8"/>
  <c r="T9" i="8"/>
  <c r="R9" i="8"/>
  <c r="P9" i="8"/>
  <c r="AB8" i="8"/>
  <c r="AC8" i="8"/>
  <c r="AD8" i="8"/>
  <c r="M8" i="8"/>
  <c r="O8" i="8"/>
  <c r="AE8" i="8"/>
  <c r="L8" i="8"/>
  <c r="AF8" i="8"/>
  <c r="AG8" i="8"/>
  <c r="N8" i="8"/>
  <c r="AH8" i="8"/>
  <c r="AI8" i="8"/>
  <c r="W8" i="8"/>
  <c r="Z8" i="8"/>
  <c r="AA8" i="8"/>
  <c r="X8" i="8"/>
  <c r="Y8" i="8"/>
  <c r="V8" i="8"/>
  <c r="S8" i="8"/>
  <c r="Q8" i="8"/>
  <c r="U8" i="8"/>
  <c r="T8" i="8"/>
  <c r="R8" i="8"/>
  <c r="P8" i="8"/>
  <c r="AB7" i="8"/>
  <c r="AC7" i="8"/>
  <c r="AD7" i="8"/>
  <c r="M7" i="8"/>
  <c r="O7" i="8"/>
  <c r="AE7" i="8"/>
  <c r="L7" i="8"/>
  <c r="AF7" i="8"/>
  <c r="AG7" i="8"/>
  <c r="N7" i="8"/>
  <c r="AH7" i="8"/>
  <c r="AI7" i="8"/>
  <c r="W7" i="8"/>
  <c r="Z7" i="8"/>
  <c r="AA7" i="8"/>
  <c r="X7" i="8"/>
  <c r="Y7" i="8"/>
  <c r="V7" i="8"/>
  <c r="S7" i="8"/>
  <c r="Q7" i="8"/>
  <c r="U7" i="8"/>
  <c r="T7" i="8"/>
  <c r="J7" i="8"/>
  <c r="R7" i="8"/>
  <c r="P7" i="8"/>
  <c r="D22" i="4"/>
  <c r="D42" i="4"/>
  <c r="D4" i="4"/>
  <c r="D5" i="4"/>
  <c r="D6" i="4"/>
  <c r="D10" i="4"/>
  <c r="D11" i="4"/>
  <c r="D14" i="4"/>
  <c r="D15" i="4"/>
  <c r="D45" i="4"/>
  <c r="D23" i="4"/>
  <c r="D24" i="4"/>
  <c r="D43" i="4"/>
  <c r="D55" i="4"/>
  <c r="D56" i="4"/>
  <c r="D51" i="4"/>
  <c r="D52" i="4"/>
  <c r="D57" i="4"/>
  <c r="D58" i="4"/>
  <c r="D59" i="4"/>
  <c r="D63" i="4"/>
  <c r="D26" i="4"/>
  <c r="D25" i="4"/>
  <c r="E36" i="4"/>
  <c r="E37" i="4"/>
  <c r="E35" i="4"/>
  <c r="D29" i="4"/>
  <c r="D31" i="4"/>
  <c r="D32" i="4"/>
  <c r="D8" i="1"/>
  <c r="D9" i="1"/>
  <c r="D10" i="1"/>
  <c r="D11" i="1"/>
  <c r="D15" i="1"/>
  <c r="D18" i="1"/>
  <c r="D41" i="4"/>
  <c r="D44" i="4"/>
</calcChain>
</file>

<file path=xl/comments1.xml><?xml version="1.0" encoding="utf-8"?>
<comments xmlns="http://schemas.openxmlformats.org/spreadsheetml/2006/main">
  <authors>
    <author>David Giandomenico</author>
  </authors>
  <commentList>
    <comment ref="P3" authorId="0">
      <text>
        <r>
          <rPr>
            <b/>
            <sz val="9"/>
            <color indexed="81"/>
            <rFont val="Calibri"/>
            <family val="2"/>
          </rPr>
          <t>David Giandomenico:</t>
        </r>
        <r>
          <rPr>
            <sz val="9"/>
            <color indexed="81"/>
            <rFont val="Calibri"/>
            <family val="2"/>
          </rPr>
          <t xml:space="preserve">
time_constant = I w/Ts
1/(N-m-s)=1/(Kg m / s^2 m-s)
s / Kg-m^</t>
        </r>
      </text>
    </comment>
    <comment ref="AA3" authorId="0">
      <text>
        <r>
          <rPr>
            <b/>
            <sz val="9"/>
            <color indexed="81"/>
            <rFont val="Calibri"/>
            <family val="2"/>
          </rPr>
          <t>David Giandomenico:</t>
        </r>
        <r>
          <rPr>
            <sz val="9"/>
            <color indexed="81"/>
            <rFont val="Calibri"/>
            <family val="2"/>
          </rPr>
          <t xml:space="preserve">
Should be &lt;= 1 for motor that obeys conservation of energy.
Since
  P = T w = Ki Kv I*V</t>
        </r>
      </text>
    </comment>
    <comment ref="AF3" authorId="0">
      <text>
        <r>
          <rPr>
            <b/>
            <sz val="9"/>
            <color indexed="81"/>
            <rFont val="Calibri"/>
            <family val="2"/>
          </rPr>
          <t>David Giandomenico:</t>
        </r>
        <r>
          <rPr>
            <sz val="9"/>
            <color indexed="81"/>
            <rFont val="Calibri"/>
            <family val="2"/>
          </rPr>
          <t xml:space="preserve">
P</t>
        </r>
        <r>
          <rPr>
            <vertAlign val="subscript"/>
            <sz val="9"/>
            <color indexed="81"/>
            <rFont val="Calibri"/>
          </rPr>
          <t>armature</t>
        </r>
        <r>
          <rPr>
            <sz val="9"/>
            <color indexed="81"/>
            <rFont val="Calibri"/>
            <family val="2"/>
          </rPr>
          <t>=I</t>
        </r>
        <r>
          <rPr>
            <vertAlign val="superscript"/>
            <sz val="9"/>
            <color indexed="81"/>
            <rFont val="Calibri"/>
          </rPr>
          <t>2</t>
        </r>
        <r>
          <rPr>
            <sz val="9"/>
            <color indexed="81"/>
            <rFont val="Calibri"/>
            <family val="2"/>
          </rPr>
          <t>R</t>
        </r>
      </text>
    </comment>
  </commentList>
</comments>
</file>

<file path=xl/sharedStrings.xml><?xml version="1.0" encoding="utf-8"?>
<sst xmlns="http://schemas.openxmlformats.org/spreadsheetml/2006/main" count="218" uniqueCount="176">
  <si>
    <t>Newtons</t>
  </si>
  <si>
    <t>Joules</t>
  </si>
  <si>
    <t>Watts</t>
  </si>
  <si>
    <t>Max Power Output</t>
  </si>
  <si>
    <t>meters</t>
  </si>
  <si>
    <t>Diameter</t>
  </si>
  <si>
    <t>Circumference</t>
  </si>
  <si>
    <t>m/s</t>
  </si>
  <si>
    <t>s</t>
  </si>
  <si>
    <t>m</t>
  </si>
  <si>
    <t>Units</t>
  </si>
  <si>
    <t>Distance</t>
  </si>
  <si>
    <t>Speed</t>
  </si>
  <si>
    <t>rpm</t>
  </si>
  <si>
    <t>Mass to lift</t>
  </si>
  <si>
    <t>Weight To lift</t>
  </si>
  <si>
    <t>Height</t>
  </si>
  <si>
    <t>Kp = mgh</t>
  </si>
  <si>
    <t>P = Kp / T</t>
  </si>
  <si>
    <t>Weight to lift</t>
  </si>
  <si>
    <t>lb</t>
  </si>
  <si>
    <t>feet</t>
  </si>
  <si>
    <t>seconds</t>
  </si>
  <si>
    <t>in</t>
  </si>
  <si>
    <t>Select Motor Speed and Torque</t>
  </si>
  <si>
    <t>Power out</t>
  </si>
  <si>
    <t>Winch Design Parameters</t>
  </si>
  <si>
    <t>Operating Point at FUSE current</t>
    <phoneticPr fontId="4" type="noConversion"/>
  </si>
  <si>
    <t>at 20A</t>
    <phoneticPr fontId="4" type="noConversion"/>
  </si>
  <si>
    <t>at 30A</t>
    <phoneticPr fontId="4" type="noConversion"/>
  </si>
  <si>
    <t>at 40A</t>
    <phoneticPr fontId="4" type="noConversion"/>
  </si>
  <si>
    <t>Free Current</t>
    <phoneticPr fontId="4" type="noConversion"/>
  </si>
  <si>
    <t>Stall Current</t>
    <phoneticPr fontId="4" type="noConversion"/>
  </si>
  <si>
    <t>A</t>
    <phoneticPr fontId="4" type="noConversion"/>
  </si>
  <si>
    <t>A</t>
    <phoneticPr fontId="4" type="noConversion"/>
  </si>
  <si>
    <t>Motor current</t>
    <phoneticPr fontId="4" type="noConversion"/>
  </si>
  <si>
    <t>Height (ft) to lift in time T</t>
  </si>
  <si>
    <t>Time to lift seconds</t>
  </si>
  <si>
    <t>Time to Lift</t>
  </si>
  <si>
    <t>Potential Energy</t>
  </si>
  <si>
    <t>Power needed to gain above energy in time T</t>
  </si>
  <si>
    <t>Input parameters</t>
  </si>
  <si>
    <t>Convert to MKS (metric system)</t>
  </si>
  <si>
    <t>RPM</t>
  </si>
  <si>
    <t>N-m</t>
  </si>
  <si>
    <t>Torque</t>
  </si>
  <si>
    <t>Winch Line Speed</t>
  </si>
  <si>
    <t>Time</t>
  </si>
  <si>
    <t>Drum speed</t>
  </si>
  <si>
    <t>Revolutions / second</t>
  </si>
  <si>
    <t>Revolutions / minute (rpm)</t>
  </si>
  <si>
    <t>Motor spec at 12VDC</t>
  </si>
  <si>
    <t>No load speed</t>
  </si>
  <si>
    <t>W</t>
  </si>
  <si>
    <t>Stall Torque</t>
  </si>
  <si>
    <t>Motor Speed</t>
  </si>
  <si>
    <t>Individual gear set reduction ratio</t>
  </si>
  <si>
    <t>Number of gear reductions</t>
  </si>
  <si>
    <t>Total estimated gear efficiency</t>
  </si>
  <si>
    <t>% Loss per gear set</t>
  </si>
  <si>
    <t>Required Gear Reduction</t>
  </si>
  <si>
    <t>Winch line output at speed</t>
  </si>
  <si>
    <t>Motor torque at speed (above)</t>
  </si>
  <si>
    <t>Torque after gearbox (no loss)</t>
  </si>
  <si>
    <t>Force on Line</t>
  </si>
  <si>
    <t>N</t>
  </si>
  <si>
    <t>Force on Line (lbs)</t>
  </si>
  <si>
    <t>lbs</t>
  </si>
  <si>
    <t>Loss estimate assuming 'n' small gear sets</t>
  </si>
  <si>
    <t>% motor speed</t>
  </si>
  <si>
    <t>After gear box losses</t>
  </si>
  <si>
    <t>Drum size (dictated by factors such as cable)</t>
  </si>
  <si>
    <t>Kgs</t>
  </si>
  <si>
    <t xml:space="preserve">Make </t>
  </si>
  <si>
    <t xml:space="preserve">Part Number </t>
  </si>
  <si>
    <t xml:space="preserve">Notes </t>
  </si>
  <si>
    <t xml:space="preserve">CIM </t>
  </si>
  <si>
    <t xml:space="preserve">FR801-001 </t>
  </si>
  <si>
    <t xml:space="preserve">BaneBots </t>
  </si>
  <si>
    <t xml:space="preserve">M7-RS775-18 </t>
  </si>
  <si>
    <t xml:space="preserve">M5-RS550-12 M5-RS550-12-B </t>
  </si>
  <si>
    <t>VEX  Mini CIM</t>
  </si>
  <si>
    <t xml:space="preserve">217-3371 </t>
  </si>
  <si>
    <t xml:space="preserve">AndyMark </t>
  </si>
  <si>
    <t xml:space="preserve">am-0912 </t>
  </si>
  <si>
    <t>VEX bag motor</t>
  </si>
  <si>
    <t xml:space="preserve">217-3351 </t>
  </si>
  <si>
    <t xml:space="preserve">M5-RS540-12 </t>
  </si>
  <si>
    <t xml:space="preserve">M7-RS775-12 </t>
  </si>
  <si>
    <t xml:space="preserve">M5-RS545-12 </t>
  </si>
  <si>
    <t xml:space="preserve">M3-RS395-12 </t>
  </si>
  <si>
    <t xml:space="preserve">am-0915 </t>
  </si>
  <si>
    <t xml:space="preserve">motor with PG27 gearbox </t>
  </si>
  <si>
    <t xml:space="preserve">am-0914 </t>
  </si>
  <si>
    <t xml:space="preserve">motor with PG71 gearbox </t>
  </si>
  <si>
    <t xml:space="preserve">M3-RS390-12 </t>
  </si>
  <si>
    <t xml:space="preserve">M5-RS555-12 </t>
  </si>
  <si>
    <t xml:space="preserve">am-2193 </t>
  </si>
  <si>
    <t xml:space="preserve">motor with PG188 gearbox </t>
  </si>
  <si>
    <t xml:space="preserve">am-2235 </t>
  </si>
  <si>
    <t xml:space="preserve">snow blower motor </t>
  </si>
  <si>
    <t xml:space="preserve">Denso </t>
  </si>
  <si>
    <t xml:space="preserve">262100-3030 (Right) </t>
  </si>
  <si>
    <t xml:space="preserve">262100-3040 (Left) </t>
  </si>
  <si>
    <t xml:space="preserve">AE235100‐0160 </t>
  </si>
  <si>
    <t xml:space="preserve">Pinion: 12 tooth, 20°PA, 0.75 module </t>
  </si>
  <si>
    <t xml:space="preserve">VEX </t>
  </si>
  <si>
    <t xml:space="preserve">276‐2177 (high speed) </t>
  </si>
  <si>
    <t xml:space="preserve">At 7.2 Volts </t>
  </si>
  <si>
    <t xml:space="preserve">276‐2177 (standard) </t>
  </si>
  <si>
    <t>oz-in</t>
  </si>
  <si>
    <t>A</t>
  </si>
  <si>
    <t>Measured or spec</t>
  </si>
  <si>
    <t>Calculated  parameters</t>
  </si>
  <si>
    <t xml:space="preserve"> sec/ Kg-m^2</t>
  </si>
  <si>
    <t xml:space="preserve"> N-m/A</t>
  </si>
  <si>
    <t xml:space="preserve"> rpm / V</t>
  </si>
  <si>
    <t xml:space="preserve"> V-s / rad</t>
  </si>
  <si>
    <t xml:space="preserve"> rad/(V_s)=1/Ke</t>
  </si>
  <si>
    <t>wo</t>
  </si>
  <si>
    <t>wo/Ts</t>
  </si>
  <si>
    <t>Power</t>
  </si>
  <si>
    <t>Power/Kg</t>
  </si>
  <si>
    <t>Eff_Op_Point</t>
  </si>
  <si>
    <t>Max_Eff_Coef</t>
  </si>
  <si>
    <t>Power at Max Efficiency</t>
  </si>
  <si>
    <t>Ke</t>
  </si>
  <si>
    <t>Max Power</t>
  </si>
  <si>
    <t>Free Speed</t>
  </si>
  <si>
    <t>Free Current</t>
  </si>
  <si>
    <t>Stall Current</t>
  </si>
  <si>
    <t>Occurs at:</t>
  </si>
  <si>
    <t>Max Efficiency calculation</t>
  </si>
  <si>
    <t>Max Efficiency</t>
  </si>
  <si>
    <t>of free speed</t>
  </si>
  <si>
    <t>Motor Selection</t>
  </si>
  <si>
    <r>
      <t>Calculated specs</t>
    </r>
    <r>
      <rPr>
        <sz val="10"/>
        <rFont val="Arial"/>
      </rPr>
      <t xml:space="preserve"> (not used below)</t>
    </r>
  </si>
  <si>
    <t>Motor Winch Calculations</t>
  </si>
  <si>
    <t>Margin</t>
  </si>
  <si>
    <t>Weight of load</t>
  </si>
  <si>
    <t>Margin (force:load at target speed)</t>
  </si>
  <si>
    <t>Given Data</t>
  </si>
  <si>
    <t>User Test calculations</t>
  </si>
  <si>
    <t xml:space="preserve"> (rad/s)</t>
  </si>
  <si>
    <t xml:space="preserve"> % speed</t>
  </si>
  <si>
    <t xml:space="preserve">Max Power (W) </t>
  </si>
  <si>
    <t xml:space="preserve">Stall Torque (oz-in) </t>
  </si>
  <si>
    <t xml:space="preserve">Free Speed (rpm) </t>
  </si>
  <si>
    <t xml:space="preserve">Free Current (A) </t>
  </si>
  <si>
    <t xml:space="preserve">Stall Current (A) </t>
  </si>
  <si>
    <t>Weight (Kg)</t>
  </si>
  <si>
    <t>Kv_meas</t>
  </si>
  <si>
    <t>Test Point</t>
  </si>
  <si>
    <t>I@tp</t>
  </si>
  <si>
    <t>P_in - Pout at TP</t>
  </si>
  <si>
    <t>2nd check</t>
  </si>
  <si>
    <r>
      <t>V</t>
    </r>
    <r>
      <rPr>
        <vertAlign val="subscript"/>
        <sz val="12"/>
        <color theme="1"/>
        <rFont val="Calibri"/>
        <scheme val="minor"/>
      </rPr>
      <t>test</t>
    </r>
  </si>
  <si>
    <r>
      <t>R</t>
    </r>
    <r>
      <rPr>
        <vertAlign val="subscript"/>
        <sz val="12"/>
        <color theme="1"/>
        <rFont val="Calibri"/>
        <scheme val="minor"/>
      </rPr>
      <t>m</t>
    </r>
    <r>
      <rPr>
        <sz val="12"/>
        <color theme="1"/>
        <rFont val="Calibri"/>
        <family val="2"/>
        <scheme val="minor"/>
      </rPr>
      <t xml:space="preserve"> (ohms)</t>
    </r>
  </si>
  <si>
    <r>
      <t>I</t>
    </r>
    <r>
      <rPr>
        <vertAlign val="subscript"/>
        <sz val="12"/>
        <color theme="1"/>
        <rFont val="Calibri"/>
        <scheme val="minor"/>
      </rPr>
      <t>o</t>
    </r>
    <r>
      <rPr>
        <sz val="12"/>
        <color theme="1"/>
        <rFont val="Calibri"/>
        <family val="2"/>
        <scheme val="minor"/>
      </rPr>
      <t>/I</t>
    </r>
    <r>
      <rPr>
        <vertAlign val="subscript"/>
        <sz val="12"/>
        <color theme="1"/>
        <rFont val="Calibri"/>
        <scheme val="minor"/>
      </rPr>
      <t>s</t>
    </r>
  </si>
  <si>
    <r>
      <t>P</t>
    </r>
    <r>
      <rPr>
        <b/>
        <vertAlign val="subscript"/>
        <sz val="12"/>
        <color rgb="FF000000"/>
        <rFont val="Calibri"/>
        <scheme val="minor"/>
      </rPr>
      <t>in</t>
    </r>
    <r>
      <rPr>
        <b/>
        <sz val="12"/>
        <color rgb="FF000000"/>
        <rFont val="Calibri"/>
        <scheme val="minor"/>
      </rPr>
      <t xml:space="preserve"> @ max</t>
    </r>
  </si>
  <si>
    <r>
      <t>K</t>
    </r>
    <r>
      <rPr>
        <vertAlign val="subscript"/>
        <sz val="12"/>
        <color theme="1"/>
        <rFont val="Calibri"/>
        <scheme val="minor"/>
      </rPr>
      <t>i</t>
    </r>
  </si>
  <si>
    <r>
      <t>K</t>
    </r>
    <r>
      <rPr>
        <vertAlign val="subscript"/>
        <sz val="12"/>
        <color theme="1"/>
        <rFont val="Calibri"/>
        <scheme val="minor"/>
      </rPr>
      <t>V</t>
    </r>
    <r>
      <rPr>
        <sz val="10"/>
        <color theme="1"/>
        <rFont val="Calibri"/>
        <family val="2"/>
        <scheme val="minor"/>
      </rPr>
      <t/>
    </r>
  </si>
  <si>
    <r>
      <t>K</t>
    </r>
    <r>
      <rPr>
        <i/>
        <vertAlign val="subscript"/>
        <sz val="12"/>
        <color theme="1"/>
        <rFont val="Calibri"/>
        <scheme val="minor"/>
      </rPr>
      <t>v_meas</t>
    </r>
    <r>
      <rPr>
        <i/>
        <sz val="12"/>
        <color theme="1"/>
        <rFont val="Calibri"/>
        <scheme val="minor"/>
      </rPr>
      <t>* K</t>
    </r>
    <r>
      <rPr>
        <i/>
        <vertAlign val="subscript"/>
        <sz val="12"/>
        <color theme="1"/>
        <rFont val="Calibri"/>
        <scheme val="minor"/>
      </rPr>
      <t>i * (1-Io/Is)</t>
    </r>
  </si>
  <si>
    <r>
      <t>P</t>
    </r>
    <r>
      <rPr>
        <vertAlign val="subscript"/>
        <sz val="12"/>
        <color theme="1"/>
        <rFont val="Calibri"/>
        <scheme val="minor"/>
      </rPr>
      <t>in</t>
    </r>
    <r>
      <rPr>
        <sz val="12"/>
        <color theme="1"/>
        <rFont val="Calibri"/>
        <family val="2"/>
        <scheme val="minor"/>
      </rPr>
      <t xml:space="preserve"> @tpv</t>
    </r>
  </si>
  <si>
    <r>
      <t>P</t>
    </r>
    <r>
      <rPr>
        <vertAlign val="subscript"/>
        <sz val="12"/>
        <color theme="1"/>
        <rFont val="Calibri"/>
        <scheme val="minor"/>
      </rPr>
      <t>Mech</t>
    </r>
  </si>
  <si>
    <r>
      <t>P</t>
    </r>
    <r>
      <rPr>
        <vertAlign val="subscript"/>
        <sz val="12"/>
        <color theme="1"/>
        <rFont val="Calibri"/>
        <scheme val="minor"/>
      </rPr>
      <t>armature</t>
    </r>
  </si>
  <si>
    <r>
      <t>P</t>
    </r>
    <r>
      <rPr>
        <vertAlign val="subscript"/>
        <sz val="12"/>
        <color theme="1"/>
        <rFont val="Calibri"/>
        <scheme val="minor"/>
      </rPr>
      <t>out_mechanical</t>
    </r>
  </si>
  <si>
    <t>Make
  Model</t>
  </si>
  <si>
    <t>Efficiency</t>
  </si>
  <si>
    <r>
      <t>I</t>
    </r>
    <r>
      <rPr>
        <vertAlign val="subscript"/>
        <sz val="10"/>
        <rFont val="Arial"/>
      </rPr>
      <t>o</t>
    </r>
    <r>
      <rPr>
        <sz val="10"/>
        <rFont val="Arial"/>
      </rPr>
      <t>/I</t>
    </r>
    <r>
      <rPr>
        <vertAlign val="subscript"/>
        <sz val="10"/>
        <rFont val="Arial"/>
      </rPr>
      <t>s</t>
    </r>
  </si>
  <si>
    <t>Operating Point</t>
  </si>
  <si>
    <t>Ideal Efficiency</t>
  </si>
  <si>
    <t xml:space="preserve">BaneBots 
  M7-RS775-18 </t>
  </si>
  <si>
    <t>Stall Torque (1 Oz-In= 0.007062 N-m)</t>
  </si>
  <si>
    <t xml:space="preserve">  times</t>
  </si>
  <si>
    <t xml:space="preserve"> 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</si>
</sst>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"/>
    <numFmt numFmtId="166" formatCode="0.0"/>
    <numFmt numFmtId="167" formatCode="0.00000"/>
    <numFmt numFmtId="168" formatCode="0.0%"/>
    <numFmt numFmtId="169" formatCode="0.00\ &quot;: 1&quot;"/>
  </numFmts>
  <fonts count="32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</font>
    <font>
      <b/>
      <sz val="10"/>
      <name val="Arial"/>
      <family val="2"/>
    </font>
    <font>
      <b/>
      <sz val="26"/>
      <name val="Arial"/>
      <family val="2"/>
    </font>
    <font>
      <i/>
      <sz val="1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i/>
      <sz val="9"/>
      <name val="Arial"/>
    </font>
    <font>
      <b/>
      <sz val="10"/>
      <color rgb="FF0000FF"/>
      <name val="Arial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scheme val="minor"/>
    </font>
    <font>
      <i/>
      <sz val="12"/>
      <color theme="1"/>
      <name val="Calibri"/>
      <scheme val="minor"/>
    </font>
    <font>
      <i/>
      <sz val="10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scheme val="minor"/>
    </font>
    <font>
      <sz val="9"/>
      <color rgb="FF000000"/>
      <name val="Calibri"/>
      <scheme val="minor"/>
    </font>
    <font>
      <b/>
      <i/>
      <sz val="11"/>
      <color theme="1"/>
      <name val="Calibri"/>
      <scheme val="minor"/>
    </font>
    <font>
      <b/>
      <sz val="11"/>
      <color rgb="FF0000FF"/>
      <name val="Calibri"/>
      <scheme val="minor"/>
    </font>
    <font>
      <vertAlign val="subscript"/>
      <sz val="9"/>
      <color indexed="81"/>
      <name val="Calibri"/>
    </font>
    <font>
      <vertAlign val="superscript"/>
      <sz val="9"/>
      <color indexed="81"/>
      <name val="Calibri"/>
    </font>
    <font>
      <vertAlign val="subscript"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vertAlign val="subscript"/>
      <sz val="12"/>
      <color rgb="FF000000"/>
      <name val="Calibri"/>
      <scheme val="minor"/>
    </font>
    <font>
      <i/>
      <vertAlign val="subscript"/>
      <sz val="12"/>
      <color theme="1"/>
      <name val="Calibri"/>
      <scheme val="minor"/>
    </font>
    <font>
      <vertAlign val="subscript"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71">
    <xf numFmtId="0" fontId="0" fillId="0" borderId="0"/>
    <xf numFmtId="0" fontId="11" fillId="2" borderId="4" applyNumberFormat="0" applyAlignment="0" applyProtection="0"/>
    <xf numFmtId="0" fontId="12" fillId="0" borderId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1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Border="1"/>
    <xf numFmtId="10" fontId="0" fillId="0" borderId="0" xfId="3" applyNumberFormat="1" applyFont="1"/>
    <xf numFmtId="2" fontId="5" fillId="0" borderId="0" xfId="0" applyNumberFormat="1" applyFont="1"/>
    <xf numFmtId="166" fontId="5" fillId="0" borderId="0" xfId="0" applyNumberFormat="1" applyFont="1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9" fontId="3" fillId="0" borderId="2" xfId="0" applyNumberFormat="1" applyFont="1" applyBorder="1"/>
    <xf numFmtId="0" fontId="5" fillId="0" borderId="0" xfId="0" applyFont="1" applyBorder="1"/>
    <xf numFmtId="166" fontId="7" fillId="0" borderId="0" xfId="0" applyNumberFormat="1" applyFont="1"/>
    <xf numFmtId="0" fontId="0" fillId="0" borderId="0" xfId="0" applyFill="1" applyBorder="1"/>
    <xf numFmtId="168" fontId="0" fillId="0" borderId="0" xfId="3" applyNumberFormat="1" applyFont="1"/>
    <xf numFmtId="166" fontId="0" fillId="0" borderId="0" xfId="3" applyNumberFormat="1" applyFont="1"/>
    <xf numFmtId="0" fontId="17" fillId="0" borderId="0" xfId="2" applyFont="1" applyBorder="1" applyAlignment="1">
      <alignment horizontal="left" vertical="center" wrapText="1"/>
    </xf>
    <xf numFmtId="0" fontId="13" fillId="0" borderId="0" xfId="2" applyFont="1" applyBorder="1" applyAlignment="1">
      <alignment horizontal="left" vertical="center" wrapText="1"/>
    </xf>
    <xf numFmtId="0" fontId="17" fillId="0" borderId="0" xfId="2" applyFont="1" applyBorder="1" applyAlignment="1">
      <alignment horizontal="center" vertical="center" wrapText="1"/>
    </xf>
    <xf numFmtId="0" fontId="12" fillId="0" borderId="0" xfId="2" applyBorder="1" applyAlignment="1">
      <alignment horizontal="center" vertical="center" wrapText="1"/>
    </xf>
    <xf numFmtId="164" fontId="12" fillId="0" borderId="0" xfId="2" applyNumberFormat="1" applyBorder="1" applyAlignment="1">
      <alignment horizontal="center" vertical="center" wrapText="1"/>
    </xf>
    <xf numFmtId="166" fontId="17" fillId="0" borderId="0" xfId="2" applyNumberFormat="1" applyFont="1" applyBorder="1" applyAlignment="1">
      <alignment horizontal="center" vertical="center" wrapText="1"/>
    </xf>
    <xf numFmtId="10" fontId="17" fillId="0" borderId="0" xfId="2" applyNumberFormat="1" applyFont="1" applyBorder="1" applyAlignment="1">
      <alignment horizontal="center" vertical="center" wrapText="1"/>
    </xf>
    <xf numFmtId="165" fontId="17" fillId="0" borderId="0" xfId="2" applyNumberFormat="1" applyFont="1" applyBorder="1" applyAlignment="1">
      <alignment horizontal="center" vertical="center" wrapText="1"/>
    </xf>
    <xf numFmtId="1" fontId="17" fillId="0" borderId="0" xfId="2" applyNumberFormat="1" applyFont="1" applyBorder="1" applyAlignment="1">
      <alignment horizontal="center" vertical="center" wrapText="1"/>
    </xf>
    <xf numFmtId="168" fontId="17" fillId="0" borderId="0" xfId="4" applyNumberFormat="1" applyFont="1" applyBorder="1" applyAlignment="1">
      <alignment horizontal="center" vertical="center" wrapText="1"/>
    </xf>
    <xf numFmtId="166" fontId="17" fillId="0" borderId="0" xfId="4" applyNumberFormat="1" applyFont="1" applyBorder="1" applyAlignment="1">
      <alignment horizontal="center" vertical="center" wrapText="1"/>
    </xf>
    <xf numFmtId="167" fontId="17" fillId="0" borderId="0" xfId="4" applyNumberFormat="1" applyFont="1" applyBorder="1" applyAlignment="1">
      <alignment horizontal="center" vertical="center" wrapText="1"/>
    </xf>
    <xf numFmtId="165" fontId="17" fillId="0" borderId="3" xfId="2" applyNumberFormat="1" applyFont="1" applyBorder="1" applyAlignment="1">
      <alignment horizontal="center"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165" fontId="18" fillId="0" borderId="3" xfId="2" applyNumberFormat="1" applyFont="1" applyBorder="1" applyAlignment="1">
      <alignment horizontal="center" vertical="center" wrapText="1"/>
    </xf>
    <xf numFmtId="0" fontId="14" fillId="0" borderId="0" xfId="2" applyFont="1" applyBorder="1" applyAlignment="1">
      <alignment horizontal="center" vertical="center" wrapText="1"/>
    </xf>
    <xf numFmtId="164" fontId="17" fillId="0" borderId="0" xfId="2" applyNumberFormat="1" applyFont="1" applyBorder="1" applyAlignment="1">
      <alignment horizontal="center" vertical="center" wrapText="1"/>
    </xf>
    <xf numFmtId="166" fontId="19" fillId="0" borderId="0" xfId="2" applyNumberFormat="1" applyFont="1" applyBorder="1" applyAlignment="1">
      <alignment horizontal="center" vertical="center" wrapText="1"/>
    </xf>
    <xf numFmtId="10" fontId="19" fillId="0" borderId="0" xfId="2" applyNumberFormat="1" applyFont="1" applyBorder="1" applyAlignment="1">
      <alignment horizontal="center" vertical="center" wrapText="1"/>
    </xf>
    <xf numFmtId="165" fontId="17" fillId="0" borderId="0" xfId="2" applyNumberFormat="1" applyFont="1" applyAlignment="1">
      <alignment horizontal="center" vertical="center" wrapText="1"/>
    </xf>
    <xf numFmtId="1" fontId="17" fillId="0" borderId="0" xfId="2" applyNumberFormat="1" applyFont="1" applyAlignment="1">
      <alignment horizontal="center" vertical="center" wrapText="1"/>
    </xf>
    <xf numFmtId="166" fontId="17" fillId="0" borderId="0" xfId="2" applyNumberFormat="1" applyFont="1" applyAlignment="1">
      <alignment horizontal="center" vertical="center" wrapText="1"/>
    </xf>
    <xf numFmtId="168" fontId="17" fillId="0" borderId="0" xfId="4" applyNumberFormat="1" applyFont="1" applyAlignment="1">
      <alignment horizontal="center" vertical="center" wrapText="1"/>
    </xf>
    <xf numFmtId="167" fontId="17" fillId="0" borderId="0" xfId="4" applyNumberFormat="1" applyFont="1" applyAlignment="1">
      <alignment horizontal="center" vertical="center" wrapText="1"/>
    </xf>
    <xf numFmtId="166" fontId="17" fillId="0" borderId="0" xfId="4" applyNumberFormat="1" applyFont="1" applyAlignment="1">
      <alignment horizontal="center" vertical="center" wrapText="1"/>
    </xf>
    <xf numFmtId="165" fontId="19" fillId="0" borderId="3" xfId="2" applyNumberFormat="1" applyFont="1" applyBorder="1" applyAlignment="1">
      <alignment horizontal="center" vertical="center" wrapText="1"/>
    </xf>
    <xf numFmtId="0" fontId="17" fillId="0" borderId="0" xfId="2" applyFont="1" applyFill="1" applyBorder="1" applyAlignment="1">
      <alignment horizontal="left" vertical="center" wrapText="1"/>
    </xf>
    <xf numFmtId="0" fontId="13" fillId="0" borderId="0" xfId="2" applyFont="1" applyFill="1" applyBorder="1" applyAlignment="1">
      <alignment horizontal="left" vertical="center" wrapText="1"/>
    </xf>
    <xf numFmtId="0" fontId="17" fillId="0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 wrapText="1"/>
    </xf>
    <xf numFmtId="165" fontId="21" fillId="0" borderId="3" xfId="2" applyNumberFormat="1" applyFont="1" applyBorder="1" applyAlignment="1">
      <alignment horizontal="center" vertical="center" wrapText="1"/>
    </xf>
    <xf numFmtId="2" fontId="17" fillId="0" borderId="0" xfId="2" applyNumberFormat="1" applyFont="1" applyAlignment="1">
      <alignment horizontal="center" vertical="center" wrapText="1"/>
    </xf>
    <xf numFmtId="0" fontId="17" fillId="0" borderId="0" xfId="2" applyNumberFormat="1" applyFont="1" applyBorder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1" fillId="2" borderId="4" xfId="1"/>
    <xf numFmtId="9" fontId="11" fillId="2" borderId="4" xfId="1" applyNumberFormat="1"/>
    <xf numFmtId="168" fontId="0" fillId="0" borderId="0" xfId="0" applyNumberForma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10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13" fillId="0" borderId="2" xfId="2" applyNumberFormat="1" applyFont="1" applyBorder="1" applyAlignment="1">
      <alignment horizontal="left" vertical="center" wrapText="1"/>
    </xf>
    <xf numFmtId="0" fontId="17" fillId="0" borderId="2" xfId="2" applyNumberFormat="1" applyFont="1" applyBorder="1" applyAlignment="1">
      <alignment horizontal="center" vertical="center" wrapText="1"/>
    </xf>
    <xf numFmtId="2" fontId="11" fillId="2" borderId="4" xfId="1" applyNumberFormat="1"/>
    <xf numFmtId="166" fontId="11" fillId="2" borderId="4" xfId="1" applyNumberFormat="1"/>
    <xf numFmtId="169" fontId="0" fillId="0" borderId="0" xfId="3" applyNumberFormat="1" applyFont="1"/>
    <xf numFmtId="0" fontId="17" fillId="7" borderId="0" xfId="2" applyFont="1" applyFill="1" applyBorder="1" applyAlignment="1">
      <alignment horizontal="center" vertical="center" wrapText="1"/>
    </xf>
    <xf numFmtId="9" fontId="22" fillId="7" borderId="0" xfId="4" applyFont="1" applyFill="1" applyAlignment="1">
      <alignment horizontal="center" vertical="center" wrapText="1"/>
    </xf>
    <xf numFmtId="0" fontId="17" fillId="0" borderId="0" xfId="2" applyFont="1" applyAlignment="1">
      <alignment horizontal="center" vertical="center" wrapText="1"/>
    </xf>
    <xf numFmtId="0" fontId="17" fillId="0" borderId="0" xfId="2" applyFont="1" applyFill="1" applyAlignment="1">
      <alignment horizontal="center" vertical="center" wrapText="1"/>
    </xf>
    <xf numFmtId="166" fontId="17" fillId="0" borderId="0" xfId="2" applyNumberFormat="1" applyFont="1" applyFill="1" applyAlignment="1">
      <alignment horizontal="center" vertical="center" wrapText="1"/>
    </xf>
    <xf numFmtId="9" fontId="22" fillId="7" borderId="0" xfId="4" applyFont="1" applyFill="1" applyBorder="1" applyAlignment="1">
      <alignment horizontal="center" vertical="center" wrapText="1"/>
    </xf>
    <xf numFmtId="0" fontId="17" fillId="7" borderId="6" xfId="2" applyFont="1" applyFill="1" applyBorder="1" applyAlignment="1">
      <alignment horizontal="center" vertical="center" wrapText="1"/>
    </xf>
    <xf numFmtId="0" fontId="12" fillId="3" borderId="0" xfId="2" applyFill="1" applyAlignment="1">
      <alignment vertical="center" wrapText="1"/>
    </xf>
    <xf numFmtId="0" fontId="13" fillId="3" borderId="0" xfId="2" applyFont="1" applyFill="1" applyAlignment="1">
      <alignment vertical="center" wrapText="1"/>
    </xf>
    <xf numFmtId="0" fontId="14" fillId="3" borderId="3" xfId="2" applyFont="1" applyFill="1" applyBorder="1" applyAlignment="1">
      <alignment vertical="center" wrapText="1"/>
    </xf>
    <xf numFmtId="0" fontId="14" fillId="4" borderId="0" xfId="2" applyFont="1" applyFill="1" applyBorder="1" applyAlignment="1">
      <alignment vertical="center" wrapText="1"/>
    </xf>
    <xf numFmtId="0" fontId="12" fillId="5" borderId="0" xfId="2" applyFill="1" applyAlignment="1">
      <alignment vertical="center" wrapText="1"/>
    </xf>
    <xf numFmtId="164" fontId="12" fillId="5" borderId="0" xfId="2" applyNumberFormat="1" applyFill="1" applyAlignment="1">
      <alignment vertical="center" wrapText="1"/>
    </xf>
    <xf numFmtId="0" fontId="15" fillId="5" borderId="0" xfId="2" applyFont="1" applyFill="1" applyAlignment="1">
      <alignment vertical="center" wrapText="1"/>
    </xf>
    <xf numFmtId="0" fontId="15" fillId="5" borderId="3" xfId="2" applyFont="1" applyFill="1" applyBorder="1" applyAlignment="1">
      <alignment vertical="center" wrapText="1"/>
    </xf>
    <xf numFmtId="0" fontId="12" fillId="6" borderId="0" xfId="2" applyFill="1" applyAlignment="1">
      <alignment vertical="center" wrapText="1"/>
    </xf>
    <xf numFmtId="0" fontId="12" fillId="0" borderId="0" xfId="2" applyAlignment="1">
      <alignment vertical="center" wrapText="1"/>
    </xf>
    <xf numFmtId="0" fontId="12" fillId="0" borderId="0" xfId="2" applyFill="1" applyAlignment="1">
      <alignment vertical="center" wrapText="1"/>
    </xf>
    <xf numFmtId="0" fontId="16" fillId="0" borderId="0" xfId="2" applyFont="1" applyAlignment="1">
      <alignment horizontal="left" vertical="center" wrapText="1"/>
    </xf>
    <xf numFmtId="0" fontId="16" fillId="0" borderId="0" xfId="2" applyFont="1" applyAlignment="1">
      <alignment horizontal="center" vertical="center" wrapText="1"/>
    </xf>
    <xf numFmtId="164" fontId="16" fillId="0" borderId="0" xfId="2" applyNumberFormat="1" applyFont="1" applyAlignment="1">
      <alignment horizontal="center" vertical="center" wrapText="1"/>
    </xf>
    <xf numFmtId="0" fontId="16" fillId="0" borderId="3" xfId="2" applyFont="1" applyBorder="1" applyAlignment="1">
      <alignment horizontal="center" vertical="center" wrapText="1"/>
    </xf>
    <xf numFmtId="0" fontId="16" fillId="0" borderId="0" xfId="2" applyFont="1" applyFill="1" applyAlignment="1">
      <alignment horizontal="center" vertical="center" wrapText="1"/>
    </xf>
    <xf numFmtId="165" fontId="14" fillId="0" borderId="0" xfId="2" applyNumberFormat="1" applyFont="1" applyBorder="1" applyAlignment="1">
      <alignment horizontal="center" vertical="center" wrapText="1"/>
    </xf>
    <xf numFmtId="0" fontId="12" fillId="0" borderId="0" xfId="2" applyFill="1" applyAlignment="1">
      <alignment horizontal="center" vertical="center" wrapText="1"/>
    </xf>
    <xf numFmtId="0" fontId="20" fillId="0" borderId="0" xfId="2" applyFont="1" applyAlignment="1">
      <alignment horizontal="center" vertical="center" wrapText="1"/>
    </xf>
    <xf numFmtId="0" fontId="12" fillId="0" borderId="0" xfId="2" applyAlignment="1">
      <alignment horizontal="left" vertical="center" wrapText="1"/>
    </xf>
    <xf numFmtId="0" fontId="13" fillId="0" borderId="0" xfId="2" applyFont="1" applyAlignment="1">
      <alignment horizontal="left" vertical="center" wrapText="1"/>
    </xf>
    <xf numFmtId="0" fontId="12" fillId="0" borderId="0" xfId="2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164" fontId="12" fillId="0" borderId="0" xfId="2" applyNumberFormat="1" applyAlignment="1">
      <alignment horizontal="center" vertical="center" wrapText="1"/>
    </xf>
    <xf numFmtId="0" fontId="15" fillId="0" borderId="0" xfId="2" applyFont="1" applyAlignment="1">
      <alignment horizontal="center" vertical="center" wrapText="1"/>
    </xf>
    <xf numFmtId="0" fontId="15" fillId="0" borderId="3" xfId="2" applyFont="1" applyBorder="1" applyAlignment="1">
      <alignment horizontal="center" vertical="center" wrapText="1"/>
    </xf>
    <xf numFmtId="9" fontId="0" fillId="0" borderId="0" xfId="4" applyFont="1" applyAlignment="1">
      <alignment horizontal="center" vertical="center" wrapText="1"/>
    </xf>
    <xf numFmtId="0" fontId="12" fillId="0" borderId="0" xfId="2" applyFont="1" applyBorder="1" applyAlignment="1">
      <alignment horizontal="left" vertical="center" wrapText="1"/>
    </xf>
    <xf numFmtId="0" fontId="12" fillId="0" borderId="0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164" fontId="12" fillId="0" borderId="0" xfId="2" applyNumberFormat="1" applyFont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26" fillId="0" borderId="5" xfId="2" applyFont="1" applyBorder="1" applyAlignment="1">
      <alignment horizontal="center" vertical="center" wrapText="1"/>
    </xf>
    <xf numFmtId="0" fontId="26" fillId="0" borderId="0" xfId="2" applyFont="1" applyBorder="1" applyAlignment="1">
      <alignment horizontal="center" vertical="center" wrapText="1"/>
    </xf>
    <xf numFmtId="0" fontId="12" fillId="0" borderId="0" xfId="2" applyFont="1" applyFill="1" applyAlignment="1">
      <alignment horizontal="center" vertical="center" wrapText="1"/>
    </xf>
    <xf numFmtId="10" fontId="0" fillId="0" borderId="0" xfId="0" applyNumberFormat="1"/>
  </cellXfs>
  <cellStyles count="71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Input" xfId="1" builtinId="20" customBuiltin="1"/>
    <cellStyle name="Normal" xfId="0" builtinId="0"/>
    <cellStyle name="Normal 2" xfId="2"/>
    <cellStyle name="Percent" xfId="3" builtinId="5"/>
    <cellStyle name="Percent 2" xfId="4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'Efficiency curve'!$C$5</c:f>
              <c:strCache>
                <c:ptCount val="1"/>
                <c:pt idx="0">
                  <c:v>Operating Point</c:v>
                </c:pt>
              </c:strCache>
            </c:strRef>
          </c:tx>
          <c:spPr>
            <a:ln w="12700" cmpd="sng"/>
          </c:spPr>
          <c:marker>
            <c:symbol val="none"/>
          </c:marker>
          <c:xVal>
            <c:numRef>
              <c:f>'Efficiency curve'!$B$6:$B$30</c:f>
              <c:numCache>
                <c:formatCode>0.0%</c:formatCode>
                <c:ptCount val="2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0.01</c:v>
                </c:pt>
                <c:pt idx="7">
                  <c:v>0.015</c:v>
                </c:pt>
                <c:pt idx="8">
                  <c:v>0.02</c:v>
                </c:pt>
                <c:pt idx="9">
                  <c:v>0.025</c:v>
                </c:pt>
                <c:pt idx="10">
                  <c:v>0.03</c:v>
                </c:pt>
                <c:pt idx="11">
                  <c:v>0.035</c:v>
                </c:pt>
                <c:pt idx="12">
                  <c:v>0.04</c:v>
                </c:pt>
                <c:pt idx="13">
                  <c:v>0.045</c:v>
                </c:pt>
                <c:pt idx="14">
                  <c:v>0.05</c:v>
                </c:pt>
                <c:pt idx="15">
                  <c:v>0.055</c:v>
                </c:pt>
                <c:pt idx="16">
                  <c:v>0.06</c:v>
                </c:pt>
                <c:pt idx="17">
                  <c:v>0.065</c:v>
                </c:pt>
                <c:pt idx="18">
                  <c:v>0.07</c:v>
                </c:pt>
                <c:pt idx="19">
                  <c:v>0.075</c:v>
                </c:pt>
                <c:pt idx="20">
                  <c:v>0.08</c:v>
                </c:pt>
                <c:pt idx="21">
                  <c:v>0.085</c:v>
                </c:pt>
                <c:pt idx="22">
                  <c:v>0.09</c:v>
                </c:pt>
                <c:pt idx="23">
                  <c:v>0.095</c:v>
                </c:pt>
                <c:pt idx="24">
                  <c:v>0.1</c:v>
                </c:pt>
              </c:numCache>
            </c:numRef>
          </c:xVal>
          <c:yVal>
            <c:numRef>
              <c:f>'Efficiency curve'!$C$6:$C$30</c:f>
              <c:numCache>
                <c:formatCode>0.0%</c:formatCode>
                <c:ptCount val="25"/>
                <c:pt idx="0">
                  <c:v>1.0</c:v>
                </c:pt>
                <c:pt idx="1">
                  <c:v>0.969346569968284</c:v>
                </c:pt>
                <c:pt idx="2">
                  <c:v>0.95719302650301</c:v>
                </c:pt>
                <c:pt idx="3">
                  <c:v>0.948071960129873</c:v>
                </c:pt>
                <c:pt idx="4">
                  <c:v>0.940516512848024</c:v>
                </c:pt>
                <c:pt idx="5">
                  <c:v>0.933959117468689</c:v>
                </c:pt>
                <c:pt idx="6">
                  <c:v>0.909090909090909</c:v>
                </c:pt>
                <c:pt idx="7">
                  <c:v>0.890888845544001</c:v>
                </c:pt>
                <c:pt idx="8">
                  <c:v>0.876100656900705</c:v>
                </c:pt>
                <c:pt idx="9">
                  <c:v>0.863472940504186</c:v>
                </c:pt>
                <c:pt idx="10">
                  <c:v>0.85236589612692</c:v>
                </c:pt>
                <c:pt idx="11">
                  <c:v>0.842401171669744</c:v>
                </c:pt>
                <c:pt idx="12">
                  <c:v>0.833333333333333</c:v>
                </c:pt>
                <c:pt idx="13">
                  <c:v>0.824992634182236</c:v>
                </c:pt>
                <c:pt idx="14">
                  <c:v>0.817256002368443</c:v>
                </c:pt>
                <c:pt idx="15">
                  <c:v>0.810030912178654</c:v>
                </c:pt>
                <c:pt idx="16">
                  <c:v>0.803245772044343</c:v>
                </c:pt>
                <c:pt idx="17">
                  <c:v>0.796843876278461</c:v>
                </c:pt>
                <c:pt idx="18">
                  <c:v>0.790779428917786</c:v>
                </c:pt>
                <c:pt idx="19">
                  <c:v>0.785014833780991</c:v>
                </c:pt>
                <c:pt idx="20">
                  <c:v>0.779518790788458</c:v>
                </c:pt>
                <c:pt idx="21">
                  <c:v>0.774264923778945</c:v>
                </c:pt>
                <c:pt idx="22">
                  <c:v>0.769230769230769</c:v>
                </c:pt>
                <c:pt idx="23">
                  <c:v>0.764397016410554</c:v>
                </c:pt>
                <c:pt idx="24">
                  <c:v>0.759746926647958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'Efficiency curve'!$C$5</c:f>
              <c:strCache>
                <c:ptCount val="1"/>
                <c:pt idx="0">
                  <c:v>Operating Point</c:v>
                </c:pt>
              </c:strCache>
            </c:strRef>
          </c:tx>
          <c:spPr>
            <a:ln w="12700" cmpd="sng"/>
          </c:spPr>
          <c:marker>
            <c:symbol val="none"/>
          </c:marker>
          <c:xVal>
            <c:numRef>
              <c:f>'Efficiency curve'!$B$6:$B$30</c:f>
              <c:numCache>
                <c:formatCode>0.0%</c:formatCode>
                <c:ptCount val="2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0.01</c:v>
                </c:pt>
                <c:pt idx="7">
                  <c:v>0.015</c:v>
                </c:pt>
                <c:pt idx="8">
                  <c:v>0.02</c:v>
                </c:pt>
                <c:pt idx="9">
                  <c:v>0.025</c:v>
                </c:pt>
                <c:pt idx="10">
                  <c:v>0.03</c:v>
                </c:pt>
                <c:pt idx="11">
                  <c:v>0.035</c:v>
                </c:pt>
                <c:pt idx="12">
                  <c:v>0.04</c:v>
                </c:pt>
                <c:pt idx="13">
                  <c:v>0.045</c:v>
                </c:pt>
                <c:pt idx="14">
                  <c:v>0.05</c:v>
                </c:pt>
                <c:pt idx="15">
                  <c:v>0.055</c:v>
                </c:pt>
                <c:pt idx="16">
                  <c:v>0.06</c:v>
                </c:pt>
                <c:pt idx="17">
                  <c:v>0.065</c:v>
                </c:pt>
                <c:pt idx="18">
                  <c:v>0.07</c:v>
                </c:pt>
                <c:pt idx="19">
                  <c:v>0.075</c:v>
                </c:pt>
                <c:pt idx="20">
                  <c:v>0.08</c:v>
                </c:pt>
                <c:pt idx="21">
                  <c:v>0.085</c:v>
                </c:pt>
                <c:pt idx="22">
                  <c:v>0.09</c:v>
                </c:pt>
                <c:pt idx="23">
                  <c:v>0.095</c:v>
                </c:pt>
                <c:pt idx="24">
                  <c:v>0.1</c:v>
                </c:pt>
              </c:numCache>
            </c:numRef>
          </c:xVal>
          <c:yVal>
            <c:numRef>
              <c:f>'Efficiency curve'!$C$6:$C$30</c:f>
              <c:numCache>
                <c:formatCode>0.0%</c:formatCode>
                <c:ptCount val="25"/>
                <c:pt idx="0">
                  <c:v>1.0</c:v>
                </c:pt>
                <c:pt idx="1">
                  <c:v>0.969346569968284</c:v>
                </c:pt>
                <c:pt idx="2">
                  <c:v>0.95719302650301</c:v>
                </c:pt>
                <c:pt idx="3">
                  <c:v>0.948071960129873</c:v>
                </c:pt>
                <c:pt idx="4">
                  <c:v>0.940516512848024</c:v>
                </c:pt>
                <c:pt idx="5">
                  <c:v>0.933959117468689</c:v>
                </c:pt>
                <c:pt idx="6">
                  <c:v>0.909090909090909</c:v>
                </c:pt>
                <c:pt idx="7">
                  <c:v>0.890888845544001</c:v>
                </c:pt>
                <c:pt idx="8">
                  <c:v>0.876100656900705</c:v>
                </c:pt>
                <c:pt idx="9">
                  <c:v>0.863472940504186</c:v>
                </c:pt>
                <c:pt idx="10">
                  <c:v>0.85236589612692</c:v>
                </c:pt>
                <c:pt idx="11">
                  <c:v>0.842401171669744</c:v>
                </c:pt>
                <c:pt idx="12">
                  <c:v>0.833333333333333</c:v>
                </c:pt>
                <c:pt idx="13">
                  <c:v>0.824992634182236</c:v>
                </c:pt>
                <c:pt idx="14">
                  <c:v>0.817256002368443</c:v>
                </c:pt>
                <c:pt idx="15">
                  <c:v>0.810030912178654</c:v>
                </c:pt>
                <c:pt idx="16">
                  <c:v>0.803245772044343</c:v>
                </c:pt>
                <c:pt idx="17">
                  <c:v>0.796843876278461</c:v>
                </c:pt>
                <c:pt idx="18">
                  <c:v>0.790779428917786</c:v>
                </c:pt>
                <c:pt idx="19">
                  <c:v>0.785014833780991</c:v>
                </c:pt>
                <c:pt idx="20">
                  <c:v>0.779518790788458</c:v>
                </c:pt>
                <c:pt idx="21">
                  <c:v>0.774264923778945</c:v>
                </c:pt>
                <c:pt idx="22">
                  <c:v>0.769230769230769</c:v>
                </c:pt>
                <c:pt idx="23">
                  <c:v>0.764397016410554</c:v>
                </c:pt>
                <c:pt idx="24">
                  <c:v>0.759746926647958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81656"/>
        <c:axId val="2058675816"/>
      </c:scatterChart>
      <c:valAx>
        <c:axId val="2058681656"/>
        <c:scaling>
          <c:orientation val="minMax"/>
          <c:max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0"/>
                  <a:t>I</a:t>
                </a:r>
                <a:r>
                  <a:rPr lang="en-US" sz="1600" b="0" baseline="-25000"/>
                  <a:t>o </a:t>
                </a:r>
                <a:r>
                  <a:rPr lang="en-US" sz="1600" b="0"/>
                  <a:t>/ I</a:t>
                </a:r>
                <a:r>
                  <a:rPr lang="en-US" sz="1600" b="0" baseline="-25000"/>
                  <a:t>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58675816"/>
        <c:crosses val="autoZero"/>
        <c:crossBetween val="midCat"/>
      </c:valAx>
      <c:valAx>
        <c:axId val="2058675816"/>
        <c:scaling>
          <c:orientation val="minMax"/>
          <c:max val="1.0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0"/>
                  <a:t>Best Operating Point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58681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6" Type="http://schemas.openxmlformats.org/officeDocument/2006/relationships/image" Target="../media/image6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6</xdr:row>
      <xdr:rowOff>101600</xdr:rowOff>
    </xdr:from>
    <xdr:to>
      <xdr:col>8</xdr:col>
      <xdr:colOff>584200</xdr:colOff>
      <xdr:row>13</xdr:row>
      <xdr:rowOff>76200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898900" y="5448300"/>
          <a:ext cx="2324100" cy="1041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5720" rIns="4572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Weight &amp; Mass conversions: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1Kg = 2.2 lbs-mass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Weight in Newtons = mass x 'g'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where g=9.8 m/s/s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so a 1Kg mass weighs 9.8 Newtons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2</xdr:col>
      <xdr:colOff>825500</xdr:colOff>
      <xdr:row>20</xdr:row>
      <xdr:rowOff>127000</xdr:rowOff>
    </xdr:from>
    <xdr:to>
      <xdr:col>7</xdr:col>
      <xdr:colOff>520700</xdr:colOff>
      <xdr:row>23</xdr:row>
      <xdr:rowOff>101600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308100" y="7607300"/>
          <a:ext cx="4178300" cy="43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5720" rIns="45720" bIns="4572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This worksheet is available online at www.LynbrookRobotics.com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(See "Tech : Resources")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56</xdr:row>
      <xdr:rowOff>99060</xdr:rowOff>
    </xdr:from>
    <xdr:to>
      <xdr:col>6</xdr:col>
      <xdr:colOff>429260</xdr:colOff>
      <xdr:row>57</xdr:row>
      <xdr:rowOff>124460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3870960" y="9314180"/>
          <a:ext cx="1089660" cy="177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F = T / Radius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58</xdr:row>
      <xdr:rowOff>0</xdr:rowOff>
    </xdr:from>
    <xdr:to>
      <xdr:col>6</xdr:col>
      <xdr:colOff>419100</xdr:colOff>
      <xdr:row>59</xdr:row>
      <xdr:rowOff>12700</xdr:rowOff>
    </xdr:to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3695700" y="6210300"/>
          <a:ext cx="1092200" cy="16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 N = 0.225 lbs</a:t>
          </a:r>
        </a:p>
        <a:p>
          <a:pPr algn="l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9</xdr:col>
      <xdr:colOff>492760</xdr:colOff>
      <xdr:row>49</xdr:row>
      <xdr:rowOff>137160</xdr:rowOff>
    </xdr:from>
    <xdr:to>
      <xdr:col>13</xdr:col>
      <xdr:colOff>457200</xdr:colOff>
      <xdr:row>57</xdr:row>
      <xdr:rowOff>55880</xdr:rowOff>
    </xdr:to>
    <xdr:sp macro="" textlink="">
      <xdr:nvSpPr>
        <xdr:cNvPr id="3077" name="Text Box 5"/>
        <xdr:cNvSpPr txBox="1">
          <a:spLocks noChangeArrowheads="1"/>
        </xdr:cNvSpPr>
      </xdr:nvSpPr>
      <xdr:spPr bwMode="auto">
        <a:xfrm>
          <a:off x="7035800" y="7533640"/>
          <a:ext cx="2646680" cy="1320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5720" rIns="4572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To roughly estimate gear losses, assume the gear reduction is made up of N identical gear sets, each with a typical gear loss.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 sets =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ln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(overall reduction) /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ln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(small gear reduction)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Efficiency = (1-SingleGearLoss)</a:t>
          </a:r>
          <a:r>
            <a:rPr lang="en-US" sz="100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N</a:t>
          </a:r>
        </a:p>
      </xdr:txBody>
    </xdr:sp>
    <xdr:clientData/>
  </xdr:twoCellAnchor>
  <xdr:twoCellAnchor>
    <xdr:from>
      <xdr:col>5</xdr:col>
      <xdr:colOff>34715</xdr:colOff>
      <xdr:row>21</xdr:row>
      <xdr:rowOff>115993</xdr:rowOff>
    </xdr:from>
    <xdr:to>
      <xdr:col>7</xdr:col>
      <xdr:colOff>386081</xdr:colOff>
      <xdr:row>23</xdr:row>
      <xdr:rowOff>10160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3895515" y="3397673"/>
          <a:ext cx="1692486" cy="19896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5720" rIns="45720" bIns="4572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 Oz-In= 0.007061552 N-m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25</xdr:row>
          <xdr:rowOff>139700</xdr:rowOff>
        </xdr:from>
        <xdr:to>
          <xdr:col>7</xdr:col>
          <xdr:colOff>533400</xdr:colOff>
          <xdr:row>28</xdr:row>
          <xdr:rowOff>139700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584200</xdr:colOff>
          <xdr:row>33</xdr:row>
          <xdr:rowOff>88900</xdr:rowOff>
        </xdr:from>
        <xdr:to>
          <xdr:col>7</xdr:col>
          <xdr:colOff>279400</xdr:colOff>
          <xdr:row>36</xdr:row>
          <xdr:rowOff>88900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317500</xdr:colOff>
          <xdr:row>29</xdr:row>
          <xdr:rowOff>50800</xdr:rowOff>
        </xdr:from>
        <xdr:to>
          <xdr:col>7</xdr:col>
          <xdr:colOff>520700</xdr:colOff>
          <xdr:row>33</xdr:row>
          <xdr:rowOff>88900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</xdr:colOff>
          <xdr:row>42</xdr:row>
          <xdr:rowOff>50800</xdr:rowOff>
        </xdr:from>
        <xdr:to>
          <xdr:col>6</xdr:col>
          <xdr:colOff>482600</xdr:colOff>
          <xdr:row>44</xdr:row>
          <xdr:rowOff>139700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520700</xdr:colOff>
          <xdr:row>46</xdr:row>
          <xdr:rowOff>152400</xdr:rowOff>
        </xdr:from>
        <xdr:to>
          <xdr:col>6</xdr:col>
          <xdr:colOff>495300</xdr:colOff>
          <xdr:row>51</xdr:row>
          <xdr:rowOff>127000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39</xdr:row>
          <xdr:rowOff>139700</xdr:rowOff>
        </xdr:from>
        <xdr:to>
          <xdr:col>7</xdr:col>
          <xdr:colOff>241300</xdr:colOff>
          <xdr:row>41</xdr:row>
          <xdr:rowOff>76200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3</xdr:row>
      <xdr:rowOff>140970</xdr:rowOff>
    </xdr:from>
    <xdr:to>
      <xdr:col>9</xdr:col>
      <xdr:colOff>177800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otors5" displayName="Motors5" ref="A3:AI24" totalsRowShown="0" headerRowDxfId="37" dataDxfId="36" tableBorderDxfId="35">
  <autoFilter ref="A3:AI24">
    <filterColumn colId="3">
      <customFilters>
        <customFilter operator="greaterThan" val="43"/>
      </customFilters>
    </filterColumn>
    <filterColumn colId="5">
      <customFilters>
        <customFilter operator="greaterThan" val="100"/>
      </customFilters>
    </filterColumn>
  </autoFilter>
  <sortState ref="A7:AI17">
    <sortCondition descending="1" ref="D3:D24"/>
  </sortState>
  <tableColumns count="35">
    <tableColumn id="1" name="Make " dataDxfId="34"/>
    <tableColumn id="2" name="Part Number " dataDxfId="33"/>
    <tableColumn id="35" name="Make_x000a_  Model" dataDxfId="32" dataCellStyle="Normal 2">
      <calculatedColumnFormula>Motors5[[#This Row],[Make ]] &amp; CHAR(13) &amp; "  " &amp; Motors5[[#This Row],[Part Number ]]</calculatedColumnFormula>
    </tableColumn>
    <tableColumn id="3" name="Max Power (W) " dataDxfId="31"/>
    <tableColumn id="4" name="Stall Torque (oz-in) " dataDxfId="30"/>
    <tableColumn id="5" name="Free Speed (rpm) " dataDxfId="29"/>
    <tableColumn id="6" name="Free Current (A) " dataDxfId="28"/>
    <tableColumn id="7" name="Stall Current (A) " dataDxfId="27"/>
    <tableColumn id="8" name="Notes " dataDxfId="26"/>
    <tableColumn id="20" name="Weight (Kg)" dataDxfId="25"/>
    <tableColumn id="18" name="Vtest" dataDxfId="24"/>
    <tableColumn id="27" name="Rm (ohms)" dataDxfId="23">
      <calculatedColumnFormula>Motors5[[#This Row],[Vtest]]/Motors5[[#This Row],[Stall Current (A) ]]</calculatedColumnFormula>
    </tableColumn>
    <tableColumn id="17" name="wo" dataDxfId="22">
      <calculatedColumnFormula>Motors5[[#This Row],[Free Speed (rpm) ]]*2*PI()/60</calculatedColumnFormula>
    </tableColumn>
    <tableColumn id="16" name="Io/Is" dataDxfId="21">
      <calculatedColumnFormula>Motors5[[#This Row],[Free Current (A) ]]/Motors5[[#This Row],[Stall Current (A) ]]</calculatedColumnFormula>
    </tableColumn>
    <tableColumn id="9" name="Torque" dataDxfId="20">
      <calculatedColumnFormula>Motors5[[#This Row],[Stall Torque (oz-in) ]]*0.0070615518333</calculatedColumnFormula>
    </tableColumn>
    <tableColumn id="32" name="wo/Ts" dataDxfId="19">
      <calculatedColumnFormula>Motors5[[#This Row],[wo]]/Motors5[[#This Row],[Torque]]</calculatedColumnFormula>
    </tableColumn>
    <tableColumn id="10" name="Power" dataDxfId="18">
      <calculatedColumnFormula>Motors5[[#This Row],[Torque]]*Motors5[[#This Row],[wo]]/4</calculatedColumnFormula>
    </tableColumn>
    <tableColumn id="31" name="Power/Kg" dataDxfId="17">
      <calculatedColumnFormula>IF(ISBLANK(Motors5[[#This Row],[Weight (Kg)]]),"-", Motors5[[#This Row],[Power]] / Motors5[[#This Row],[Weight (Kg)]] )</calculatedColumnFormula>
    </tableColumn>
    <tableColumn id="11" name="Eff_Op_Point" dataDxfId="16" dataCellStyle="Percent">
      <calculatedColumnFormula>1/(1+SQRT(Motors5[[#This Row],[Free Current (A) ]]/Motors5[[#This Row],[Stall Current (A) ]]))</calculatedColumnFormula>
    </tableColumn>
    <tableColumn id="12" name="Max_Eff_Coef" dataDxfId="15" dataCellStyle="Percent">
      <calculatedColumnFormula>Motors5[[#This Row],[Eff_Op_Point]]^2</calculatedColumnFormula>
    </tableColumn>
    <tableColumn id="13" name="Power at Max Efficiency" dataDxfId="14" dataCellStyle="Percent">
      <calculatedColumnFormula>Motors5[[#This Row],[Eff_Op_Point]]*(1-Motors5[[#This Row],[Eff_Op_Point]])*4*Motors5[[#This Row],[Power]]</calculatedColumnFormula>
    </tableColumn>
    <tableColumn id="21" name="Pin @ max" dataDxfId="13">
      <calculatedColumnFormula>12*(Motors5[[#This Row],[Free Current (A) ]]+Motors5[[#This Row],[Stall Current (A) ]])/2</calculatedColumnFormula>
    </tableColumn>
    <tableColumn id="14" name="Ki" dataDxfId="12" dataCellStyle="Percent">
      <calculatedColumnFormula>Motors5[[#This Row],[Torque]] / (Motors5[[#This Row],[Stall Current (A) ]]-Motors5[[#This Row],[Free Current (A) ]])</calculatedColumnFormula>
    </tableColumn>
    <tableColumn id="33" name="Kv_meas" dataDxfId="11" dataCellStyle="Percent">
      <calculatedColumnFormula>Motors5[[#This Row],[Free Speed (rpm) ]] / Motors5[[#This Row],[Vtest]]</calculatedColumnFormula>
    </tableColumn>
    <tableColumn id="34" name="Ke" dataDxfId="10" dataCellStyle="Percent">
      <calculatedColumnFormula>(1-Motors5[[#This Row],[Io/Is]]) *60 / (2*PI()* Motors5[[#This Row],[Kv_meas]])</calculatedColumnFormula>
    </tableColumn>
    <tableColumn id="15" name="KV" dataDxfId="9" dataCellStyle="Percent">
      <calculatedColumnFormula>Motors5[[#This Row],[wo]]/Motors5[[#This Row],[Vtest]] / (1-Motors5[[#This Row],[Io/Is]])</calculatedColumnFormula>
    </tableColumn>
    <tableColumn id="19" name="Kv_meas* Ki * (1-Io/Is)" dataDxfId="8">
      <calculatedColumnFormula>Motors5[[#This Row],[Ki]]*Motors5[[#This Row],[KV]] * (1-Motors5[[#This Row],[Io/Is]])^2</calculatedColumnFormula>
    </tableColumn>
    <tableColumn id="22" name="Test Point" dataDxfId="7">
      <calculatedColumnFormula>$AB$25</calculatedColumnFormula>
    </tableColumn>
    <tableColumn id="23" name="I@tp" dataDxfId="6">
      <calculatedColumnFormula>Motors5[[#This Row],[Test Point]]*Motors5[[#This Row],[Free Current (A) ]]+(1-Motors5[[#This Row],[Test Point]]) * Motors5[[#This Row],[Stall Current (A) ]]</calculatedColumnFormula>
    </tableColumn>
    <tableColumn id="24" name="Pin @tpv" dataDxfId="5">
      <calculatedColumnFormula>Motors5[[#This Row],[I@tp]]*Motors5[[#This Row],[Vtest]]</calculatedColumnFormula>
    </tableColumn>
    <tableColumn id="25" name="PMech" dataDxfId="4">
      <calculatedColumnFormula>Motors5[[#This Row],[Test Point]] * (1-Motors5[[#This Row],[Test Point]])*Motors5[[#This Row],[wo]]*Motors5[[#This Row],[Torque]]</calculatedColumnFormula>
    </tableColumn>
    <tableColumn id="26" name="Parmature" dataDxfId="3">
      <calculatedColumnFormula>Motors5[[#This Row],[I@tp]]^2*Motors5[[#This Row],[Rm (ohms)]]</calculatedColumnFormula>
    </tableColumn>
    <tableColumn id="28" name="P_in - Pout at TP" dataDxfId="2">
      <calculatedColumnFormula>Motors5[[#This Row],[Pin @tpv]]-(SUM(Motors5[[#This Row],[PMech]:[Parmature]]))</calculatedColumnFormula>
    </tableColumn>
    <tableColumn id="29" name="Pout_mechanical" dataDxfId="1">
      <calculatedColumnFormula>Motors5[[#This Row],[Io/Is]]*Motors5[[#This Row],[Torque]] * Motors5[[#This Row],[wo]]*Motors5[[#This Row],[Test Point]]</calculatedColumnFormula>
    </tableColumn>
    <tableColumn id="30" name="2nd check" dataDxfId="0">
      <calculatedColumnFormula>Motors5[[#This Row],[P_in - Pout at TP]]-Motors5[[#This Row],[Pout_mechanical]]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oleObject" Target="../embeddings/Microsoft_Equation5.bin"/><Relationship Id="rId12" Type="http://schemas.openxmlformats.org/officeDocument/2006/relationships/image" Target="../media/image5.emf"/><Relationship Id="rId13" Type="http://schemas.openxmlformats.org/officeDocument/2006/relationships/oleObject" Target="../embeddings/Microsoft_Equation6.bin"/><Relationship Id="rId14" Type="http://schemas.openxmlformats.org/officeDocument/2006/relationships/image" Target="../media/image6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oleObject" Target="../embeddings/Microsoft_Equation1.bin"/><Relationship Id="rId4" Type="http://schemas.openxmlformats.org/officeDocument/2006/relationships/image" Target="../media/image1.emf"/><Relationship Id="rId5" Type="http://schemas.openxmlformats.org/officeDocument/2006/relationships/oleObject" Target="../embeddings/Microsoft_Equation2.bin"/><Relationship Id="rId6" Type="http://schemas.openxmlformats.org/officeDocument/2006/relationships/image" Target="../media/image2.emf"/><Relationship Id="rId7" Type="http://schemas.openxmlformats.org/officeDocument/2006/relationships/oleObject" Target="../embeddings/Microsoft_Equation3.bin"/><Relationship Id="rId8" Type="http://schemas.openxmlformats.org/officeDocument/2006/relationships/image" Target="../media/image3.emf"/><Relationship Id="rId9" Type="http://schemas.openxmlformats.org/officeDocument/2006/relationships/oleObject" Target="../embeddings/Microsoft_Equation4.bin"/><Relationship Id="rId10" Type="http://schemas.openxmlformats.org/officeDocument/2006/relationships/image" Target="../media/image4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25" zoomScaleNormal="125" zoomScalePageLayoutView="125" workbookViewId="0">
      <selection activeCell="D18" sqref="D18"/>
    </sheetView>
  </sheetViews>
  <sheetFormatPr baseColWidth="10" defaultColWidth="8.83203125" defaultRowHeight="12" x14ac:dyDescent="0"/>
  <cols>
    <col min="1" max="1" width="3.1640625" style="5" customWidth="1"/>
    <col min="2" max="2" width="3.1640625" customWidth="1"/>
    <col min="3" max="3" width="23.5" customWidth="1"/>
  </cols>
  <sheetData>
    <row r="1" spans="1:5" ht="31">
      <c r="A1" s="6" t="s">
        <v>26</v>
      </c>
    </row>
    <row r="2" spans="1:5">
      <c r="A2" s="5" t="s">
        <v>41</v>
      </c>
    </row>
    <row r="3" spans="1:5">
      <c r="B3" t="s">
        <v>19</v>
      </c>
      <c r="D3" s="14">
        <v>130</v>
      </c>
      <c r="E3" t="s">
        <v>20</v>
      </c>
    </row>
    <row r="4" spans="1:5">
      <c r="B4" t="s">
        <v>36</v>
      </c>
      <c r="D4" s="14">
        <v>1.5</v>
      </c>
      <c r="E4" t="s">
        <v>21</v>
      </c>
    </row>
    <row r="5" spans="1:5">
      <c r="B5" t="s">
        <v>37</v>
      </c>
      <c r="D5" s="14">
        <v>5</v>
      </c>
      <c r="E5" t="s">
        <v>22</v>
      </c>
    </row>
    <row r="7" spans="1:5">
      <c r="A7" s="5" t="s">
        <v>42</v>
      </c>
    </row>
    <row r="8" spans="1:5">
      <c r="B8" t="s">
        <v>14</v>
      </c>
      <c r="D8" s="4">
        <f>D3/2.2</f>
        <v>59.090909090909086</v>
      </c>
      <c r="E8" t="s">
        <v>72</v>
      </c>
    </row>
    <row r="9" spans="1:5">
      <c r="B9" t="s">
        <v>15</v>
      </c>
      <c r="D9" s="4">
        <f>D8*9.8</f>
        <v>579.09090909090912</v>
      </c>
      <c r="E9" t="s">
        <v>0</v>
      </c>
    </row>
    <row r="10" spans="1:5">
      <c r="B10" t="s">
        <v>16</v>
      </c>
      <c r="D10" s="2">
        <f>D4*12*2.54/100</f>
        <v>0.4572</v>
      </c>
      <c r="E10" t="s">
        <v>4</v>
      </c>
    </row>
    <row r="11" spans="1:5">
      <c r="B11" t="s">
        <v>38</v>
      </c>
      <c r="D11">
        <f>D5</f>
        <v>5</v>
      </c>
      <c r="E11" t="s">
        <v>22</v>
      </c>
    </row>
    <row r="14" spans="1:5">
      <c r="A14" s="5" t="s">
        <v>39</v>
      </c>
    </row>
    <row r="15" spans="1:5">
      <c r="B15" t="s">
        <v>17</v>
      </c>
      <c r="D15" s="4">
        <f>D9*D10</f>
        <v>264.76036363636365</v>
      </c>
      <c r="E15" t="s">
        <v>1</v>
      </c>
    </row>
    <row r="16" spans="1:5">
      <c r="D16" s="4"/>
    </row>
    <row r="17" spans="1:5">
      <c r="A17" s="5" t="s">
        <v>40</v>
      </c>
      <c r="D17" s="4"/>
    </row>
    <row r="18" spans="1:5">
      <c r="B18" t="s">
        <v>18</v>
      </c>
      <c r="D18" s="4">
        <f>D15/D11</f>
        <v>52.952072727272729</v>
      </c>
      <c r="E18" t="s">
        <v>2</v>
      </c>
    </row>
  </sheetData>
  <phoneticPr fontId="4" type="noConversion"/>
  <pageMargins left="0.75" right="0.75" top="0.48" bottom="1" header="0.32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3"/>
  <sheetViews>
    <sheetView zoomScale="125" zoomScaleNormal="125" zoomScalePageLayoutView="125" workbookViewId="0">
      <selection activeCell="F65" sqref="F65"/>
    </sheetView>
  </sheetViews>
  <sheetFormatPr baseColWidth="10" defaultColWidth="8.83203125" defaultRowHeight="12" x14ac:dyDescent="0"/>
  <cols>
    <col min="1" max="1" width="3.1640625" style="5" customWidth="1"/>
    <col min="2" max="2" width="3.1640625" customWidth="1"/>
    <col min="3" max="3" width="28.33203125" customWidth="1"/>
    <col min="5" max="5" width="7" customWidth="1"/>
  </cols>
  <sheetData>
    <row r="1" spans="1:5">
      <c r="A1" s="5" t="s">
        <v>137</v>
      </c>
    </row>
    <row r="3" spans="1:5">
      <c r="A3" s="5" t="s">
        <v>46</v>
      </c>
      <c r="E3" s="5" t="s">
        <v>10</v>
      </c>
    </row>
    <row r="4" spans="1:5">
      <c r="B4" t="s">
        <v>11</v>
      </c>
      <c r="D4" s="7">
        <f>'Winch specification'!D10</f>
        <v>0.4572</v>
      </c>
      <c r="E4" t="s">
        <v>9</v>
      </c>
    </row>
    <row r="5" spans="1:5">
      <c r="B5" t="s">
        <v>47</v>
      </c>
      <c r="D5" s="7">
        <f>'Winch specification'!D5</f>
        <v>5</v>
      </c>
      <c r="E5" t="s">
        <v>8</v>
      </c>
    </row>
    <row r="6" spans="1:5">
      <c r="B6" t="s">
        <v>12</v>
      </c>
      <c r="D6" s="1">
        <f>D4/D5</f>
        <v>9.1439999999999994E-2</v>
      </c>
      <c r="E6" t="s">
        <v>7</v>
      </c>
    </row>
    <row r="8" spans="1:5">
      <c r="A8" s="5" t="s">
        <v>71</v>
      </c>
    </row>
    <row r="9" spans="1:5">
      <c r="B9" t="s">
        <v>5</v>
      </c>
      <c r="D9" s="14">
        <v>6</v>
      </c>
      <c r="E9" t="s">
        <v>23</v>
      </c>
    </row>
    <row r="10" spans="1:5">
      <c r="B10" t="s">
        <v>5</v>
      </c>
      <c r="D10" s="2">
        <f>D9*2.54/100</f>
        <v>0.15240000000000001</v>
      </c>
      <c r="E10" t="s">
        <v>9</v>
      </c>
    </row>
    <row r="11" spans="1:5">
      <c r="B11" t="s">
        <v>6</v>
      </c>
      <c r="D11" s="2">
        <f>PI()*D10</f>
        <v>0.47877872040708447</v>
      </c>
      <c r="E11" t="s">
        <v>9</v>
      </c>
    </row>
    <row r="13" spans="1:5">
      <c r="A13" s="5" t="s">
        <v>48</v>
      </c>
    </row>
    <row r="14" spans="1:5">
      <c r="B14" t="s">
        <v>49</v>
      </c>
      <c r="D14" s="2">
        <f>D6/D11</f>
        <v>0.19098593171027439</v>
      </c>
    </row>
    <row r="15" spans="1:5">
      <c r="B15" t="s">
        <v>50</v>
      </c>
      <c r="D15" s="3">
        <f>60*D14</f>
        <v>11.459155902616464</v>
      </c>
    </row>
    <row r="16" spans="1:5" ht="6" customHeight="1">
      <c r="D16" s="3"/>
    </row>
    <row r="17" spans="1:9" s="61" customFormat="1">
      <c r="A17" s="60"/>
      <c r="B17" s="62" t="s">
        <v>135</v>
      </c>
      <c r="C17" s="62"/>
      <c r="D17" s="63" t="s">
        <v>53</v>
      </c>
      <c r="E17" s="63" t="s">
        <v>110</v>
      </c>
      <c r="F17" s="63" t="s">
        <v>13</v>
      </c>
      <c r="G17" s="63" t="s">
        <v>111</v>
      </c>
      <c r="H17" s="63" t="s">
        <v>111</v>
      </c>
    </row>
    <row r="18" spans="1:9" s="59" customFormat="1" ht="24">
      <c r="A18" s="58"/>
      <c r="B18" s="64"/>
      <c r="C18" s="64" t="s">
        <v>74</v>
      </c>
      <c r="D18" s="64" t="s">
        <v>127</v>
      </c>
      <c r="E18" s="64" t="s">
        <v>54</v>
      </c>
      <c r="F18" s="64" t="s">
        <v>128</v>
      </c>
      <c r="G18" s="64" t="s">
        <v>129</v>
      </c>
      <c r="H18" s="64" t="s">
        <v>130</v>
      </c>
    </row>
    <row r="19" spans="1:9" ht="28">
      <c r="B19" s="65"/>
      <c r="C19" s="66" t="s">
        <v>172</v>
      </c>
      <c r="D19" s="67">
        <v>273</v>
      </c>
      <c r="E19" s="67">
        <v>113</v>
      </c>
      <c r="F19" s="67">
        <v>13000</v>
      </c>
      <c r="G19" s="67">
        <v>1.8</v>
      </c>
      <c r="H19" s="67">
        <v>87</v>
      </c>
    </row>
    <row r="20" spans="1:9" ht="4" customHeight="1">
      <c r="B20" s="8"/>
      <c r="C20" s="53"/>
      <c r="D20" s="54"/>
      <c r="E20" s="34"/>
      <c r="F20" s="34"/>
      <c r="G20" s="34"/>
      <c r="H20" s="34"/>
      <c r="I20" s="34"/>
    </row>
    <row r="21" spans="1:9">
      <c r="A21" s="5" t="s">
        <v>51</v>
      </c>
    </row>
    <row r="22" spans="1:9">
      <c r="A22" s="16"/>
      <c r="B22" s="8" t="s">
        <v>52</v>
      </c>
      <c r="C22" s="8"/>
      <c r="D22" s="55">
        <f>F19</f>
        <v>13000</v>
      </c>
      <c r="E22" t="s">
        <v>43</v>
      </c>
    </row>
    <row r="23" spans="1:9">
      <c r="A23" s="16"/>
      <c r="B23" s="8" t="s">
        <v>54</v>
      </c>
      <c r="C23" s="8"/>
      <c r="D23" s="55">
        <f>E19</f>
        <v>113</v>
      </c>
      <c r="E23" t="s">
        <v>110</v>
      </c>
    </row>
    <row r="24" spans="1:9">
      <c r="B24" s="8" t="s">
        <v>173</v>
      </c>
      <c r="C24" s="8"/>
      <c r="D24" s="2">
        <f>D23*0.0070615518333</f>
        <v>0.7979553571629</v>
      </c>
      <c r="E24" t="s">
        <v>44</v>
      </c>
    </row>
    <row r="25" spans="1:9">
      <c r="A25" s="16"/>
      <c r="B25" s="18" t="s">
        <v>31</v>
      </c>
      <c r="D25" s="68">
        <f>G19</f>
        <v>1.8</v>
      </c>
      <c r="E25" t="s">
        <v>33</v>
      </c>
    </row>
    <row r="26" spans="1:9">
      <c r="A26" s="16"/>
      <c r="B26" s="18" t="s">
        <v>32</v>
      </c>
      <c r="D26" s="69">
        <f>H19</f>
        <v>87</v>
      </c>
      <c r="E26" t="s">
        <v>34</v>
      </c>
    </row>
    <row r="27" spans="1:9" ht="7" customHeight="1">
      <c r="A27" s="16"/>
      <c r="B27" s="18"/>
      <c r="D27" s="4"/>
    </row>
    <row r="28" spans="1:9">
      <c r="A28" s="16" t="s">
        <v>136</v>
      </c>
      <c r="B28" s="18"/>
      <c r="D28" s="4"/>
    </row>
    <row r="29" spans="1:9">
      <c r="A29" s="16"/>
      <c r="B29" s="8" t="s">
        <v>3</v>
      </c>
      <c r="D29" s="4">
        <f>D22*D24*2*PI()/60/4</f>
        <v>271.57549119518848</v>
      </c>
      <c r="E29" t="s">
        <v>53</v>
      </c>
    </row>
    <row r="30" spans="1:9">
      <c r="A30" s="16"/>
      <c r="B30" s="18" t="s">
        <v>132</v>
      </c>
      <c r="D30" s="4"/>
    </row>
    <row r="31" spans="1:9">
      <c r="A31" s="16"/>
      <c r="B31" s="8"/>
      <c r="C31" t="s">
        <v>131</v>
      </c>
      <c r="D31" s="57">
        <f>1 / (1+SQRT(D25/D26))</f>
        <v>0.87424891820694217</v>
      </c>
      <c r="E31" t="s">
        <v>134</v>
      </c>
    </row>
    <row r="32" spans="1:9">
      <c r="A32" s="16"/>
      <c r="B32" s="8"/>
      <c r="C32" t="s">
        <v>133</v>
      </c>
      <c r="D32" s="57">
        <f>4*D29/(12*D26)*D31^2</f>
        <v>0.79528038960342906</v>
      </c>
    </row>
    <row r="33" spans="1:5" ht="5" customHeight="1">
      <c r="A33" s="16"/>
      <c r="B33" s="8"/>
      <c r="D33" s="4"/>
    </row>
    <row r="34" spans="1:5">
      <c r="A34" s="5" t="s">
        <v>27</v>
      </c>
    </row>
    <row r="35" spans="1:5">
      <c r="C35" t="s">
        <v>28</v>
      </c>
      <c r="D35">
        <v>20</v>
      </c>
      <c r="E35" s="19">
        <f>($D$26-D35)/($D$26-$D$25)</f>
        <v>0.78638497652582162</v>
      </c>
    </row>
    <row r="36" spans="1:5">
      <c r="C36" t="s">
        <v>29</v>
      </c>
      <c r="D36">
        <v>30</v>
      </c>
      <c r="E36" s="19">
        <f>($D$26-D36)/($D$26-$D$25)</f>
        <v>0.66901408450704225</v>
      </c>
    </row>
    <row r="37" spans="1:5">
      <c r="C37" t="s">
        <v>30</v>
      </c>
      <c r="D37">
        <v>40</v>
      </c>
      <c r="E37" s="19">
        <f>($D$26-D37)/($D$26-$D$25)</f>
        <v>0.55164319248826288</v>
      </c>
    </row>
    <row r="38" spans="1:5" ht="4" customHeight="1"/>
    <row r="39" spans="1:5">
      <c r="A39" s="5" t="s">
        <v>24</v>
      </c>
    </row>
    <row r="40" spans="1:5">
      <c r="C40" t="s">
        <v>69</v>
      </c>
      <c r="D40" s="56">
        <v>0.9</v>
      </c>
    </row>
    <row r="41" spans="1:5">
      <c r="C41" t="s">
        <v>35</v>
      </c>
      <c r="D41" s="20">
        <f>(1-D40)*($D$26-$D$25)+$D$25</f>
        <v>10.319999999999999</v>
      </c>
      <c r="E41" t="s">
        <v>34</v>
      </c>
    </row>
    <row r="42" spans="1:5">
      <c r="C42" t="s">
        <v>55</v>
      </c>
      <c r="D42">
        <f>D22*D40</f>
        <v>11700</v>
      </c>
      <c r="E42" t="s">
        <v>13</v>
      </c>
    </row>
    <row r="43" spans="1:5">
      <c r="C43" t="s">
        <v>45</v>
      </c>
      <c r="D43" s="1">
        <f>(1-D40)*D24</f>
        <v>7.9795535716289986E-2</v>
      </c>
      <c r="E43" t="s">
        <v>44</v>
      </c>
    </row>
    <row r="44" spans="1:5">
      <c r="C44" s="7" t="s">
        <v>25</v>
      </c>
      <c r="D44" s="17">
        <f>D42*2*PI()/60*D43</f>
        <v>97.767176830267857</v>
      </c>
      <c r="E44" s="7" t="s">
        <v>53</v>
      </c>
    </row>
    <row r="45" spans="1:5">
      <c r="C45" t="s">
        <v>60</v>
      </c>
      <c r="D45" s="11">
        <f>D42/D15</f>
        <v>1021.0176124166828</v>
      </c>
    </row>
    <row r="47" spans="1:5">
      <c r="A47" s="5" t="s">
        <v>68</v>
      </c>
    </row>
    <row r="48" spans="1:5">
      <c r="B48" t="s">
        <v>56</v>
      </c>
      <c r="D48" s="13">
        <v>4</v>
      </c>
      <c r="E48" t="s">
        <v>174</v>
      </c>
    </row>
    <row r="49" spans="1:6">
      <c r="B49" t="s">
        <v>59</v>
      </c>
      <c r="D49" s="15">
        <v>0.05</v>
      </c>
    </row>
    <row r="51" spans="1:6">
      <c r="B51" t="s">
        <v>57</v>
      </c>
      <c r="D51" s="2">
        <f>LN(D45)/LN(D48)</f>
        <v>4.9978960186940675</v>
      </c>
      <c r="E51" t="s">
        <v>175</v>
      </c>
    </row>
    <row r="52" spans="1:6">
      <c r="B52" t="s">
        <v>58</v>
      </c>
      <c r="D52" s="9">
        <f>(1-D49)^D51</f>
        <v>0.77386444854748992</v>
      </c>
    </row>
    <row r="53" spans="1:6" ht="26" customHeight="1"/>
    <row r="54" spans="1:6">
      <c r="A54" s="5" t="s">
        <v>61</v>
      </c>
      <c r="F54" s="12"/>
    </row>
    <row r="55" spans="1:6">
      <c r="B55" t="s">
        <v>62</v>
      </c>
      <c r="D55" s="1">
        <f>D43</f>
        <v>7.9795535716289986E-2</v>
      </c>
      <c r="E55" t="s">
        <v>44</v>
      </c>
    </row>
    <row r="56" spans="1:6">
      <c r="B56" t="s">
        <v>63</v>
      </c>
      <c r="D56" s="3">
        <f>D45*D55</f>
        <v>81.472647358556543</v>
      </c>
      <c r="E56" t="s">
        <v>44</v>
      </c>
    </row>
    <row r="57" spans="1:6">
      <c r="C57" t="s">
        <v>70</v>
      </c>
      <c r="D57" s="3">
        <f>D56*D52</f>
        <v>63.04878531983347</v>
      </c>
      <c r="E57" t="s">
        <v>44</v>
      </c>
    </row>
    <row r="58" spans="1:6">
      <c r="B58" t="s">
        <v>64</v>
      </c>
      <c r="D58" s="3">
        <f>D57/(D10/2)</f>
        <v>827.41188083770953</v>
      </c>
      <c r="E58" t="s">
        <v>65</v>
      </c>
    </row>
    <row r="59" spans="1:6">
      <c r="B59" t="s">
        <v>66</v>
      </c>
      <c r="D59" s="10">
        <f>D58/9.8*2.2</f>
        <v>185.74552426968992</v>
      </c>
      <c r="E59" t="s">
        <v>67</v>
      </c>
    </row>
    <row r="61" spans="1:6">
      <c r="A61" s="5" t="s">
        <v>138</v>
      </c>
    </row>
    <row r="62" spans="1:6">
      <c r="B62" t="s">
        <v>139</v>
      </c>
      <c r="D62">
        <v>130</v>
      </c>
      <c r="E62" t="s">
        <v>67</v>
      </c>
    </row>
    <row r="63" spans="1:6">
      <c r="C63" t="s">
        <v>140</v>
      </c>
      <c r="D63" s="70">
        <f>D59/D62</f>
        <v>1.4288117251514609</v>
      </c>
    </row>
  </sheetData>
  <phoneticPr fontId="4" type="noConversion"/>
  <pageMargins left="0.75" right="0.75" top="1" bottom="1" header="0.5" footer="0.5"/>
  <pageSetup orientation="portrait"/>
  <drawing r:id="rId1"/>
  <legacyDrawing r:id="rId2"/>
  <oleObjects>
    <mc:AlternateContent xmlns:mc="http://schemas.openxmlformats.org/markup-compatibility/2006">
      <mc:Choice Requires="x14">
        <oleObject progId="Equation.3" shapeId="3229" r:id="rId3">
          <objectPr defaultSize="0" r:id="rId4">
            <anchor moveWithCells="1">
              <from>
                <xdr:col>4</xdr:col>
                <xdr:colOff>533400</xdr:colOff>
                <xdr:row>25</xdr:row>
                <xdr:rowOff>139700</xdr:rowOff>
              </from>
              <to>
                <xdr:col>7</xdr:col>
                <xdr:colOff>533400</xdr:colOff>
                <xdr:row>28</xdr:row>
                <xdr:rowOff>139700</xdr:rowOff>
              </to>
            </anchor>
          </objectPr>
        </oleObject>
      </mc:Choice>
      <mc:Fallback>
        <oleObject progId="Equation.3" shapeId="3229" r:id="rId3"/>
      </mc:Fallback>
    </mc:AlternateContent>
    <mc:AlternateContent xmlns:mc="http://schemas.openxmlformats.org/markup-compatibility/2006">
      <mc:Choice Requires="x14">
        <oleObject progId="Equation.3" shapeId="3236" r:id="rId5">
          <objectPr defaultSize="0" r:id="rId6">
            <anchor moveWithCells="1">
              <from>
                <xdr:col>5</xdr:col>
                <xdr:colOff>584200</xdr:colOff>
                <xdr:row>33</xdr:row>
                <xdr:rowOff>88900</xdr:rowOff>
              </from>
              <to>
                <xdr:col>7</xdr:col>
                <xdr:colOff>279400</xdr:colOff>
                <xdr:row>36</xdr:row>
                <xdr:rowOff>88900</xdr:rowOff>
              </to>
            </anchor>
          </objectPr>
        </oleObject>
      </mc:Choice>
      <mc:Fallback>
        <oleObject progId="Equation.3" shapeId="3236" r:id="rId5"/>
      </mc:Fallback>
    </mc:AlternateContent>
    <mc:AlternateContent xmlns:mc="http://schemas.openxmlformats.org/markup-compatibility/2006">
      <mc:Choice Requires="x14">
        <oleObject progId="Equation.3" shapeId="3237" r:id="rId7">
          <objectPr defaultSize="0" r:id="rId8">
            <anchor moveWithCells="1">
              <from>
                <xdr:col>5</xdr:col>
                <xdr:colOff>317500</xdr:colOff>
                <xdr:row>29</xdr:row>
                <xdr:rowOff>50800</xdr:rowOff>
              </from>
              <to>
                <xdr:col>7</xdr:col>
                <xdr:colOff>520700</xdr:colOff>
                <xdr:row>33</xdr:row>
                <xdr:rowOff>88900</xdr:rowOff>
              </to>
            </anchor>
          </objectPr>
        </oleObject>
      </mc:Choice>
      <mc:Fallback>
        <oleObject progId="Equation.3" shapeId="3237" r:id="rId7"/>
      </mc:Fallback>
    </mc:AlternateContent>
    <mc:AlternateContent xmlns:mc="http://schemas.openxmlformats.org/markup-compatibility/2006">
      <mc:Choice Requires="x14">
        <oleObject progId="Equation.3" shapeId="3248" r:id="rId9">
          <objectPr defaultSize="0" r:id="rId10">
            <anchor moveWithCells="1">
              <from>
                <xdr:col>5</xdr:col>
                <xdr:colOff>25400</xdr:colOff>
                <xdr:row>42</xdr:row>
                <xdr:rowOff>50800</xdr:rowOff>
              </from>
              <to>
                <xdr:col>6</xdr:col>
                <xdr:colOff>482600</xdr:colOff>
                <xdr:row>44</xdr:row>
                <xdr:rowOff>139700</xdr:rowOff>
              </to>
            </anchor>
          </objectPr>
        </oleObject>
      </mc:Choice>
      <mc:Fallback>
        <oleObject progId="Equation.3" shapeId="3248" r:id="rId9"/>
      </mc:Fallback>
    </mc:AlternateContent>
    <mc:AlternateContent xmlns:mc="http://schemas.openxmlformats.org/markup-compatibility/2006">
      <mc:Choice Requires="x14">
        <oleObject progId="Equation.3" shapeId="3252" r:id="rId11">
          <objectPr defaultSize="0" r:id="rId12">
            <anchor moveWithCells="1">
              <from>
                <xdr:col>5</xdr:col>
                <xdr:colOff>12700</xdr:colOff>
                <xdr:row>39</xdr:row>
                <xdr:rowOff>139700</xdr:rowOff>
              </from>
              <to>
                <xdr:col>7</xdr:col>
                <xdr:colOff>241300</xdr:colOff>
                <xdr:row>41</xdr:row>
                <xdr:rowOff>76200</xdr:rowOff>
              </to>
            </anchor>
          </objectPr>
        </oleObject>
      </mc:Choice>
      <mc:Fallback>
        <oleObject progId="Equation.3" shapeId="3252" r:id="rId11"/>
      </mc:Fallback>
    </mc:AlternateContent>
    <mc:AlternateContent xmlns:mc="http://schemas.openxmlformats.org/markup-compatibility/2006">
      <mc:Choice Requires="x14">
        <oleObject progId="Equation.3" shapeId="3250" r:id="rId13">
          <objectPr defaultSize="0" autoPict="0" r:id="rId14">
            <anchor moveWithCells="1">
              <from>
                <xdr:col>4</xdr:col>
                <xdr:colOff>520700</xdr:colOff>
                <xdr:row>46</xdr:row>
                <xdr:rowOff>152400</xdr:rowOff>
              </from>
              <to>
                <xdr:col>6</xdr:col>
                <xdr:colOff>495300</xdr:colOff>
                <xdr:row>51</xdr:row>
                <xdr:rowOff>127000</xdr:rowOff>
              </to>
            </anchor>
          </objectPr>
        </oleObject>
      </mc:Choice>
      <mc:Fallback>
        <oleObject progId="Equation.3" shapeId="3250" r:id="rId13"/>
      </mc:Fallback>
    </mc:AlternateContent>
  </oleObjects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I25"/>
  <sheetViews>
    <sheetView zoomScale="125" zoomScaleNormal="125" zoomScalePageLayoutView="125" workbookViewId="0">
      <pane xSplit="1" ySplit="3" topLeftCell="B4" activePane="bottomRight" state="frozenSplit"/>
      <selection pane="topRight" activeCell="H11" sqref="H11"/>
      <selection pane="bottomLeft" activeCell="A3" sqref="A3"/>
      <selection pane="bottomRight" activeCell="C8" sqref="C8:H8"/>
    </sheetView>
  </sheetViews>
  <sheetFormatPr baseColWidth="10" defaultRowHeight="15" x14ac:dyDescent="0"/>
  <cols>
    <col min="1" max="1" width="12.6640625" style="97" customWidth="1"/>
    <col min="2" max="3" width="11.6640625" style="98" customWidth="1"/>
    <col min="4" max="5" width="9.1640625" style="99" customWidth="1"/>
    <col min="6" max="6" width="9" style="99" customWidth="1"/>
    <col min="7" max="7" width="8.6640625" style="99" customWidth="1"/>
    <col min="8" max="8" width="9.33203125" style="99" customWidth="1"/>
    <col min="9" max="9" width="16.33203125" style="100" customWidth="1"/>
    <col min="10" max="10" width="12.6640625" style="100" customWidth="1"/>
    <col min="11" max="11" width="4.1640625" style="99" customWidth="1"/>
    <col min="12" max="12" width="7.83203125" style="101" customWidth="1"/>
    <col min="13" max="13" width="8.33203125" style="102" customWidth="1"/>
    <col min="14" max="14" width="6.33203125" style="99" customWidth="1"/>
    <col min="15" max="16" width="9" style="99" customWidth="1"/>
    <col min="17" max="18" width="7.83203125" style="99" customWidth="1"/>
    <col min="19" max="21" width="8.6640625" style="99" customWidth="1"/>
    <col min="22" max="22" width="9.83203125" style="99" customWidth="1"/>
    <col min="23" max="23" width="7.6640625" style="99" customWidth="1"/>
    <col min="24" max="24" width="13.33203125" style="99" customWidth="1"/>
    <col min="25" max="25" width="8.6640625" style="99" customWidth="1"/>
    <col min="26" max="26" width="8.1640625" style="99" customWidth="1"/>
    <col min="27" max="27" width="6.5" style="103" customWidth="1"/>
    <col min="28" max="28" width="6.6640625" style="99" customWidth="1"/>
    <col min="29" max="29" width="8" style="99" customWidth="1"/>
    <col min="30" max="34" width="8.1640625" style="99" customWidth="1"/>
    <col min="35" max="35" width="10.83203125" style="99"/>
    <col min="36" max="16384" width="10.83203125" style="95"/>
  </cols>
  <sheetData>
    <row r="1" spans="1:35" s="88" customFormat="1" ht="21" customHeight="1">
      <c r="A1" s="78" t="s">
        <v>141</v>
      </c>
      <c r="B1" s="79"/>
      <c r="C1" s="79"/>
      <c r="D1" s="78"/>
      <c r="E1" s="78"/>
      <c r="F1" s="78"/>
      <c r="G1" s="78"/>
      <c r="H1" s="78"/>
      <c r="I1" s="80"/>
      <c r="J1" s="81" t="s">
        <v>112</v>
      </c>
      <c r="K1" s="82" t="s">
        <v>113</v>
      </c>
      <c r="L1" s="83"/>
      <c r="M1" s="84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5"/>
      <c r="AB1" s="86" t="s">
        <v>142</v>
      </c>
      <c r="AC1" s="86"/>
      <c r="AD1" s="86"/>
      <c r="AE1" s="86"/>
      <c r="AF1" s="86"/>
      <c r="AG1" s="87"/>
      <c r="AH1" s="87"/>
      <c r="AI1" s="87"/>
    </row>
    <row r="2" spans="1:35" s="93" customFormat="1" ht="28">
      <c r="A2" s="89"/>
      <c r="B2" s="89"/>
      <c r="C2" s="89"/>
      <c r="D2" s="90"/>
      <c r="E2" s="90"/>
      <c r="F2" s="90"/>
      <c r="G2" s="90"/>
      <c r="H2" s="90"/>
      <c r="I2" s="90"/>
      <c r="J2" s="90"/>
      <c r="K2" s="90"/>
      <c r="L2" s="91"/>
      <c r="M2" s="90" t="s">
        <v>143</v>
      </c>
      <c r="N2" s="90"/>
      <c r="O2" s="90" t="s">
        <v>44</v>
      </c>
      <c r="P2" s="90" t="s">
        <v>114</v>
      </c>
      <c r="Q2" s="90" t="s">
        <v>53</v>
      </c>
      <c r="R2" s="90"/>
      <c r="S2" s="90"/>
      <c r="T2" s="90"/>
      <c r="U2" s="90"/>
      <c r="V2" s="90" t="s">
        <v>53</v>
      </c>
      <c r="W2" s="90" t="s">
        <v>115</v>
      </c>
      <c r="X2" s="90" t="s">
        <v>116</v>
      </c>
      <c r="Y2" s="90" t="s">
        <v>117</v>
      </c>
      <c r="Z2" s="90" t="s">
        <v>118</v>
      </c>
      <c r="AA2" s="92"/>
      <c r="AB2" s="90" t="s">
        <v>144</v>
      </c>
      <c r="AC2" s="90" t="s">
        <v>111</v>
      </c>
      <c r="AD2" s="90" t="s">
        <v>53</v>
      </c>
      <c r="AE2" s="90" t="s">
        <v>53</v>
      </c>
      <c r="AF2" s="90" t="s">
        <v>53</v>
      </c>
      <c r="AG2" s="90" t="s">
        <v>53</v>
      </c>
      <c r="AH2" s="90" t="s">
        <v>53</v>
      </c>
      <c r="AI2" s="90"/>
    </row>
    <row r="3" spans="1:35" s="113" customFormat="1" ht="46" customHeight="1">
      <c r="A3" s="105" t="s">
        <v>73</v>
      </c>
      <c r="B3" s="105" t="s">
        <v>74</v>
      </c>
      <c r="C3" s="105" t="s">
        <v>167</v>
      </c>
      <c r="D3" s="106" t="s">
        <v>145</v>
      </c>
      <c r="E3" s="106" t="s">
        <v>146</v>
      </c>
      <c r="F3" s="106" t="s">
        <v>147</v>
      </c>
      <c r="G3" s="106" t="s">
        <v>148</v>
      </c>
      <c r="H3" s="106" t="s">
        <v>149</v>
      </c>
      <c r="I3" s="107" t="s">
        <v>75</v>
      </c>
      <c r="J3" s="106" t="s">
        <v>150</v>
      </c>
      <c r="K3" s="106" t="s">
        <v>156</v>
      </c>
      <c r="L3" s="108" t="s">
        <v>157</v>
      </c>
      <c r="M3" s="109" t="s">
        <v>119</v>
      </c>
      <c r="N3" s="106" t="s">
        <v>158</v>
      </c>
      <c r="O3" s="110" t="s">
        <v>45</v>
      </c>
      <c r="P3" s="110" t="s">
        <v>120</v>
      </c>
      <c r="Q3" s="110" t="s">
        <v>121</v>
      </c>
      <c r="R3" s="110" t="s">
        <v>122</v>
      </c>
      <c r="S3" s="110" t="s">
        <v>123</v>
      </c>
      <c r="T3" s="110" t="s">
        <v>124</v>
      </c>
      <c r="U3" s="111" t="s">
        <v>125</v>
      </c>
      <c r="V3" s="112" t="s">
        <v>159</v>
      </c>
      <c r="W3" s="110" t="s">
        <v>160</v>
      </c>
      <c r="X3" s="110" t="s">
        <v>151</v>
      </c>
      <c r="Y3" s="110" t="s">
        <v>126</v>
      </c>
      <c r="Z3" s="110" t="s">
        <v>161</v>
      </c>
      <c r="AA3" s="103" t="s">
        <v>162</v>
      </c>
      <c r="AB3" s="110" t="s">
        <v>152</v>
      </c>
      <c r="AC3" s="110" t="s">
        <v>153</v>
      </c>
      <c r="AD3" s="110" t="s">
        <v>163</v>
      </c>
      <c r="AE3" s="110" t="s">
        <v>164</v>
      </c>
      <c r="AF3" s="110" t="s">
        <v>165</v>
      </c>
      <c r="AG3" s="110" t="s">
        <v>154</v>
      </c>
      <c r="AH3" s="110" t="s">
        <v>166</v>
      </c>
      <c r="AI3" s="110" t="s">
        <v>155</v>
      </c>
    </row>
    <row r="4" spans="1:35" ht="28" hidden="1">
      <c r="A4" s="21" t="s">
        <v>83</v>
      </c>
      <c r="B4" s="22" t="s">
        <v>97</v>
      </c>
      <c r="C4" s="22" t="str">
        <f>Motors5[[#This Row],[Make ]] &amp; CHAR(13) &amp; "  " &amp; Motors5[[#This Row],[Part Number ]]</f>
        <v xml:space="preserve">AndyMark _x000D_  am-2193 </v>
      </c>
      <c r="D4" s="23">
        <v>33</v>
      </c>
      <c r="E4" s="23">
        <v>6336</v>
      </c>
      <c r="F4" s="23">
        <v>28</v>
      </c>
      <c r="G4" s="23">
        <v>0.6</v>
      </c>
      <c r="H4" s="23">
        <v>22</v>
      </c>
      <c r="I4" s="36" t="s">
        <v>98</v>
      </c>
      <c r="J4" s="36"/>
      <c r="K4" s="24">
        <v>12</v>
      </c>
      <c r="L4" s="25">
        <f>Motors5[[#This Row],[Vtest]]/Motors5[[#This Row],[Stall Current (A) ]]</f>
        <v>0.54545454545454541</v>
      </c>
      <c r="M4" s="38">
        <f>Motors5[[#This Row],[Free Speed (rpm) ]]*2*PI()/60</f>
        <v>2.9321531433504737</v>
      </c>
      <c r="N4" s="39">
        <f>Motors5[[#This Row],[Free Current (A) ]]/Motors5[[#This Row],[Stall Current (A) ]]</f>
        <v>2.7272727272727271E-2</v>
      </c>
      <c r="O4" s="40">
        <f>Motors5[[#This Row],[Stall Torque (oz-in) ]]*0.0070615518333</f>
        <v>44.7419924157888</v>
      </c>
      <c r="P4" s="41">
        <f>Motors5[[#This Row],[wo]]/Motors5[[#This Row],[Torque]]</f>
        <v>6.553470207812559E-2</v>
      </c>
      <c r="Q4" s="42">
        <f>Motors5[[#This Row],[Torque]]*Motors5[[#This Row],[wo]]/4</f>
        <v>32.797593425429547</v>
      </c>
      <c r="R4" s="42" t="str">
        <f>IF(ISBLANK(Motors5[[#This Row],[Weight (Kg)]]),"-", Motors5[[#This Row],[Power]] / Motors5[[#This Row],[Weight (Kg)]] )</f>
        <v>-</v>
      </c>
      <c r="S4" s="43">
        <f>1/(1+SQRT(Motors5[[#This Row],[Free Current (A) ]]/Motors5[[#This Row],[Stall Current (A) ]]))</f>
        <v>0.85826259696649587</v>
      </c>
      <c r="T4" s="43">
        <f>Motors5[[#This Row],[Eff_Op_Point]]^2</f>
        <v>0.73661468535167374</v>
      </c>
      <c r="U4" s="42">
        <f>Motors5[[#This Row],[Eff_Op_Point]]*(1-Motors5[[#This Row],[Eff_Op_Point]])*4*Motors5[[#This Row],[Power]]</f>
        <v>15.959034984782102</v>
      </c>
      <c r="V4" s="42">
        <f>12*(Motors5[[#This Row],[Free Current (A) ]]+Motors5[[#This Row],[Stall Current (A) ]])/2</f>
        <v>135.60000000000002</v>
      </c>
      <c r="W4" s="44">
        <f>Motors5[[#This Row],[Torque]] / (Motors5[[#This Row],[Stall Current (A) ]]-Motors5[[#This Row],[Free Current (A) ]])</f>
        <v>2.0907473091490094</v>
      </c>
      <c r="X4" s="45">
        <f>Motors5[[#This Row],[Free Speed (rpm) ]] / Motors5[[#This Row],[Vtest]]</f>
        <v>2.3333333333333335</v>
      </c>
      <c r="Y4" s="32">
        <f>(1-Motors5[[#This Row],[Io/Is]]) *60 / (2*PI()* Motors5[[#This Row],[Kv_meas]])</f>
        <v>3.9809405246102654</v>
      </c>
      <c r="Z4" s="45">
        <f>Motors5[[#This Row],[wo]]/Motors5[[#This Row],[Vtest]] / (1-Motors5[[#This Row],[Io/Is]])</f>
        <v>0.25119692038049229</v>
      </c>
      <c r="AA4" s="46">
        <f>Motors5[[#This Row],[Ki]]*Motors5[[#This Row],[KV]] * (1-Motors5[[#This Row],[Io/Is]])^2</f>
        <v>0.49693323371862957</v>
      </c>
      <c r="AB4" s="76">
        <f t="shared" ref="AB4:AB24" si="0">$AB$25</f>
        <v>0.85</v>
      </c>
      <c r="AC4" s="73">
        <f>Motors5[[#This Row],[Test Point]]*Motors5[[#This Row],[Free Current (A) ]]+(1-Motors5[[#This Row],[Test Point]]) * Motors5[[#This Row],[Stall Current (A) ]]</f>
        <v>3.8100000000000005</v>
      </c>
      <c r="AD4" s="42">
        <f>Motors5[[#This Row],[I@tp]]*Motors5[[#This Row],[Vtest]]</f>
        <v>45.720000000000006</v>
      </c>
      <c r="AE4" s="42">
        <f>Motors5[[#This Row],[Test Point]] * (1-Motors5[[#This Row],[Test Point]])*Motors5[[#This Row],[wo]]*Motors5[[#This Row],[Torque]]</f>
        <v>16.726772646969067</v>
      </c>
      <c r="AF4" s="42">
        <f>Motors5[[#This Row],[I@tp]]^2*Motors5[[#This Row],[Rm (ohms)]]</f>
        <v>7.9178727272727283</v>
      </c>
      <c r="AG4" s="42">
        <f>Motors5[[#This Row],[Pin @tpv]]-(SUM(Motors5[[#This Row],[PMech]:[Parmature]]))</f>
        <v>21.075354625758209</v>
      </c>
      <c r="AH4" s="42">
        <f>Motors5[[#This Row],[Io/Is]]*Motors5[[#This Row],[Torque]] * Motors5[[#This Row],[wo]]*Motors5[[#This Row],[Test Point]]</f>
        <v>3.0412313903580124</v>
      </c>
      <c r="AI4" s="42">
        <f>Motors5[[#This Row],[P_in - Pout at TP]]-Motors5[[#This Row],[Pout_mechanical]]</f>
        <v>18.034123235400195</v>
      </c>
    </row>
    <row r="5" spans="1:35" ht="26" hidden="1" customHeight="1">
      <c r="A5" s="21" t="s">
        <v>83</v>
      </c>
      <c r="B5" s="22" t="s">
        <v>93</v>
      </c>
      <c r="C5" s="22" t="str">
        <f>Motors5[[#This Row],[Make ]] &amp; CHAR(13) &amp; "  " &amp; Motors5[[#This Row],[Part Number ]]</f>
        <v xml:space="preserve">AndyMark _x000D_  am-0914 </v>
      </c>
      <c r="D5" s="23">
        <v>45</v>
      </c>
      <c r="E5" s="23">
        <v>3187</v>
      </c>
      <c r="F5" s="23">
        <v>75</v>
      </c>
      <c r="G5" s="23">
        <v>0.6</v>
      </c>
      <c r="H5" s="23">
        <v>22</v>
      </c>
      <c r="I5" s="36" t="s">
        <v>94</v>
      </c>
      <c r="J5" s="36"/>
      <c r="K5" s="24">
        <v>12</v>
      </c>
      <c r="L5" s="25">
        <f>Motors5[[#This Row],[Vtest]]/Motors5[[#This Row],[Stall Current (A) ]]</f>
        <v>0.54545454545454541</v>
      </c>
      <c r="M5" s="38">
        <f>Motors5[[#This Row],[Free Speed (rpm) ]]*2*PI()/60</f>
        <v>7.8539816339744828</v>
      </c>
      <c r="N5" s="39">
        <f>Motors5[[#This Row],[Free Current (A) ]]/Motors5[[#This Row],[Stall Current (A) ]]</f>
        <v>2.7272727272727271E-2</v>
      </c>
      <c r="O5" s="40">
        <f>Motors5[[#This Row],[Stall Torque (oz-in) ]]*0.0070615518333</f>
        <v>22.5051656927271</v>
      </c>
      <c r="P5" s="52">
        <f>Motors5[[#This Row],[wo]]/Motors5[[#This Row],[Torque]]</f>
        <v>0.34898572804165673</v>
      </c>
      <c r="Q5" s="42">
        <f>Motors5[[#This Row],[Torque]]*Motors5[[#This Row],[wo]]/4</f>
        <v>44.188789505057819</v>
      </c>
      <c r="R5" s="42" t="str">
        <f>IF(ISBLANK(Motors5[[#This Row],[Weight (Kg)]]),"-", Motors5[[#This Row],[Power]] / Motors5[[#This Row],[Weight (Kg)]] )</f>
        <v>-</v>
      </c>
      <c r="S5" s="43">
        <f>1/(1+SQRT(Motors5[[#This Row],[Free Current (A) ]]/Motors5[[#This Row],[Stall Current (A) ]]))</f>
        <v>0.85826259696649587</v>
      </c>
      <c r="T5" s="43">
        <f>Motors5[[#This Row],[Eff_Op_Point]]^2</f>
        <v>0.73661468535167374</v>
      </c>
      <c r="U5" s="42">
        <f>Motors5[[#This Row],[Eff_Op_Point]]*(1-Motors5[[#This Row],[Eff_Op_Point]])*4*Motors5[[#This Row],[Power]]</f>
        <v>21.501895840309018</v>
      </c>
      <c r="V5" s="42">
        <f>12*(Motors5[[#This Row],[Free Current (A) ]]+Motors5[[#This Row],[Stall Current (A) ]])/2</f>
        <v>135.60000000000002</v>
      </c>
      <c r="W5" s="44">
        <f>Motors5[[#This Row],[Torque]] / (Motors5[[#This Row],[Stall Current (A) ]]-Motors5[[#This Row],[Free Current (A) ]])</f>
        <v>1.0516432566694907</v>
      </c>
      <c r="X5" s="45">
        <f>Motors5[[#This Row],[Free Speed (rpm) ]] / Motors5[[#This Row],[Vtest]]</f>
        <v>6.25</v>
      </c>
      <c r="Y5" s="32">
        <f>(1-Motors5[[#This Row],[Io/Is]]) *60 / (2*PI()* Motors5[[#This Row],[Kv_meas]])</f>
        <v>1.4862177958544991</v>
      </c>
      <c r="Z5" s="45">
        <f>Motors5[[#This Row],[wo]]/Motors5[[#This Row],[Vtest]] / (1-Motors5[[#This Row],[Io/Is]])</f>
        <v>0.67284889387631863</v>
      </c>
      <c r="AA5" s="46">
        <f>Motors5[[#This Row],[Ki]]*Motors5[[#This Row],[KV]] * (1-Motors5[[#This Row],[Io/Is]])^2</f>
        <v>0.66952711371299733</v>
      </c>
      <c r="AB5" s="72">
        <f t="shared" si="0"/>
        <v>0.85</v>
      </c>
      <c r="AC5" s="73">
        <f>Motors5[[#This Row],[Test Point]]*Motors5[[#This Row],[Free Current (A) ]]+(1-Motors5[[#This Row],[Test Point]]) * Motors5[[#This Row],[Stall Current (A) ]]</f>
        <v>3.8100000000000005</v>
      </c>
      <c r="AD5" s="42">
        <f>Motors5[[#This Row],[I@tp]]*Motors5[[#This Row],[Vtest]]</f>
        <v>45.720000000000006</v>
      </c>
      <c r="AE5" s="42">
        <f>Motors5[[#This Row],[Test Point]] * (1-Motors5[[#This Row],[Test Point]])*Motors5[[#This Row],[wo]]*Motors5[[#This Row],[Torque]]</f>
        <v>22.53628264757949</v>
      </c>
      <c r="AF5" s="42">
        <f>Motors5[[#This Row],[I@tp]]^2*Motors5[[#This Row],[Rm (ohms)]]</f>
        <v>7.9178727272727283</v>
      </c>
      <c r="AG5" s="42">
        <f>Motors5[[#This Row],[Pin @tpv]]-(SUM(Motors5[[#This Row],[PMech]:[Parmature]]))</f>
        <v>15.265844625147786</v>
      </c>
      <c r="AH5" s="42">
        <f>Motors5[[#This Row],[Io/Is]]*Motors5[[#This Row],[Torque]] * Motors5[[#This Row],[wo]]*Motors5[[#This Row],[Test Point]]</f>
        <v>4.0975059359235422</v>
      </c>
      <c r="AI5" s="42">
        <f>Motors5[[#This Row],[P_in - Pout at TP]]-Motors5[[#This Row],[Pout_mechanical]]</f>
        <v>11.168338689224242</v>
      </c>
    </row>
    <row r="6" spans="1:35" ht="32" hidden="1" customHeight="1">
      <c r="A6" s="21" t="s">
        <v>83</v>
      </c>
      <c r="B6" s="22" t="s">
        <v>99</v>
      </c>
      <c r="C6" s="22" t="str">
        <f>Motors5[[#This Row],[Make ]] &amp; CHAR(13) &amp; "  " &amp; Motors5[[#This Row],[Part Number ]]</f>
        <v xml:space="preserve">AndyMark _x000D_  am-2235 </v>
      </c>
      <c r="D6" s="23">
        <v>30</v>
      </c>
      <c r="E6" s="23">
        <v>1600</v>
      </c>
      <c r="F6" s="23">
        <v>100</v>
      </c>
      <c r="G6" s="23">
        <v>1</v>
      </c>
      <c r="H6" s="23">
        <v>24</v>
      </c>
      <c r="I6" s="36" t="s">
        <v>100</v>
      </c>
      <c r="J6" s="36"/>
      <c r="K6" s="24">
        <v>12</v>
      </c>
      <c r="L6" s="25">
        <f>Motors5[[#This Row],[Vtest]]/Motors5[[#This Row],[Stall Current (A) ]]</f>
        <v>0.5</v>
      </c>
      <c r="M6" s="38">
        <f>Motors5[[#This Row],[Free Speed (rpm) ]]*2*PI()/60</f>
        <v>10.471975511965978</v>
      </c>
      <c r="N6" s="39">
        <f>Motors5[[#This Row],[Free Current (A) ]]/Motors5[[#This Row],[Stall Current (A) ]]</f>
        <v>4.1666666666666664E-2</v>
      </c>
      <c r="O6" s="40">
        <f>Motors5[[#This Row],[Stall Torque (oz-in) ]]*0.0070615518333</f>
        <v>11.298482933280001</v>
      </c>
      <c r="P6" s="41">
        <f>Motors5[[#This Row],[wo]]/Motors5[[#This Row],[Torque]]</f>
        <v>0.92684792939063332</v>
      </c>
      <c r="Q6" s="42">
        <f>Motors5[[#This Row],[Torque]]*Motors5[[#This Row],[wo]]/4</f>
        <v>29.579359149918425</v>
      </c>
      <c r="R6" s="42" t="str">
        <f>IF(ISBLANK(Motors5[[#This Row],[Weight (Kg)]]),"-", Motors5[[#This Row],[Power]] / Motors5[[#This Row],[Weight (Kg)]] )</f>
        <v>-</v>
      </c>
      <c r="S6" s="43">
        <f>1/(1+SQRT(Motors5[[#This Row],[Free Current (A) ]]/Motors5[[#This Row],[Stall Current (A) ]]))</f>
        <v>0.83047915280146278</v>
      </c>
      <c r="T6" s="43">
        <f>Motors5[[#This Row],[Eff_Op_Point]]^2</f>
        <v>0.6896956232378354</v>
      </c>
      <c r="U6" s="42">
        <f>Motors5[[#This Row],[Eff_Op_Point]]*(1-Motors5[[#This Row],[Eff_Op_Point]])*4*Motors5[[#This Row],[Power]]</f>
        <v>16.657146333422773</v>
      </c>
      <c r="V6" s="42">
        <f>12*(Motors5[[#This Row],[Free Current (A) ]]+Motors5[[#This Row],[Stall Current (A) ]])/2</f>
        <v>150</v>
      </c>
      <c r="W6" s="44">
        <f>Motors5[[#This Row],[Torque]] / (Motors5[[#This Row],[Stall Current (A) ]]-Motors5[[#This Row],[Free Current (A) ]])</f>
        <v>0.49123838840347828</v>
      </c>
      <c r="X6" s="45">
        <f>Motors5[[#This Row],[Free Speed (rpm) ]] / Motors5[[#This Row],[Vtest]]</f>
        <v>8.3333333333333339</v>
      </c>
      <c r="Y6" s="32">
        <f>(1-Motors5[[#This Row],[Io/Is]]) *60 / (2*PI()* Motors5[[#This Row],[Kv_meas]])</f>
        <v>1.0981691073340778</v>
      </c>
      <c r="Z6" s="45">
        <f>Motors5[[#This Row],[wo]]/Motors5[[#This Row],[Vtest]] / (1-Motors5[[#This Row],[Io/Is]])</f>
        <v>0.91060656625791103</v>
      </c>
      <c r="AA6" s="46">
        <f>Motors5[[#This Row],[Ki]]*Motors5[[#This Row],[KV]] * (1-Motors5[[#This Row],[Io/Is]])^2</f>
        <v>0.41082443263775592</v>
      </c>
      <c r="AB6" s="76">
        <f t="shared" si="0"/>
        <v>0.85</v>
      </c>
      <c r="AC6" s="73">
        <f>Motors5[[#This Row],[Test Point]]*Motors5[[#This Row],[Free Current (A) ]]+(1-Motors5[[#This Row],[Test Point]]) * Motors5[[#This Row],[Stall Current (A) ]]</f>
        <v>4.45</v>
      </c>
      <c r="AD6" s="42">
        <f>Motors5[[#This Row],[I@tp]]*Motors5[[#This Row],[Vtest]]</f>
        <v>53.400000000000006</v>
      </c>
      <c r="AE6" s="42">
        <f>Motors5[[#This Row],[Test Point]] * (1-Motors5[[#This Row],[Test Point]])*Motors5[[#This Row],[wo]]*Motors5[[#This Row],[Torque]]</f>
        <v>15.085473166458396</v>
      </c>
      <c r="AF6" s="42">
        <f>Motors5[[#This Row],[I@tp]]^2*Motors5[[#This Row],[Rm (ohms)]]</f>
        <v>9.901250000000001</v>
      </c>
      <c r="AG6" s="42">
        <f>Motors5[[#This Row],[Pin @tpv]]-(SUM(Motors5[[#This Row],[PMech]:[Parmature]]))</f>
        <v>28.413276833541609</v>
      </c>
      <c r="AH6" s="42">
        <f>Motors5[[#This Row],[Io/Is]]*Motors5[[#This Row],[Torque]] * Motors5[[#This Row],[wo]]*Motors5[[#This Row],[Test Point]]</f>
        <v>4.1904092129051103</v>
      </c>
      <c r="AI6" s="42">
        <f>Motors5[[#This Row],[P_in - Pout at TP]]-Motors5[[#This Row],[Pout_mechanical]]</f>
        <v>24.222867620636499</v>
      </c>
    </row>
    <row r="7" spans="1:35" ht="25" customHeight="1">
      <c r="A7" s="21" t="s">
        <v>76</v>
      </c>
      <c r="B7" s="22" t="s">
        <v>77</v>
      </c>
      <c r="C7" s="22" t="str">
        <f>Motors5[[#This Row],[Make ]] &amp; CHAR(13) &amp; "  " &amp; Motors5[[#This Row],[Part Number ]]</f>
        <v xml:space="preserve">CIM _x000D_  FR801-001 </v>
      </c>
      <c r="D7" s="23">
        <v>337</v>
      </c>
      <c r="E7" s="23">
        <v>343</v>
      </c>
      <c r="F7" s="23">
        <v>5310</v>
      </c>
      <c r="G7" s="23">
        <v>2.7</v>
      </c>
      <c r="H7" s="23">
        <v>133</v>
      </c>
      <c r="I7" s="36"/>
      <c r="J7" s="94">
        <f>2.8*0.454</f>
        <v>1.2711999999999999</v>
      </c>
      <c r="K7" s="24">
        <v>12</v>
      </c>
      <c r="L7" s="25">
        <f>Motors5[[#This Row],[Vtest]]/Motors5[[#This Row],[Stall Current (A) ]]</f>
        <v>9.0225563909774431E-2</v>
      </c>
      <c r="M7" s="26">
        <f>Motors5[[#This Row],[Free Speed (rpm) ]]*2*PI()/60</f>
        <v>556.06189968539343</v>
      </c>
      <c r="N7" s="27">
        <f>Motors5[[#This Row],[Free Current (A) ]]/Motors5[[#This Row],[Stall Current (A) ]]</f>
        <v>2.030075187969925E-2</v>
      </c>
      <c r="O7" s="28">
        <f>Motors5[[#This Row],[Stall Torque (oz-in) ]]*0.0070615518333</f>
        <v>2.4221122788219001</v>
      </c>
      <c r="P7" s="29">
        <f>Motors5[[#This Row],[wo]]/Motors5[[#This Row],[Torque]]</f>
        <v>229.57725971145251</v>
      </c>
      <c r="Q7" s="26">
        <f>Motors5[[#This Row],[Torque]]*Motors5[[#This Row],[wo]]/4</f>
        <v>336.71108875325575</v>
      </c>
      <c r="R7" s="26">
        <f>IF(ISBLANK(Motors5[[#This Row],[Weight (Kg)]]),"-", Motors5[[#This Row],[Power]] / Motors5[[#This Row],[Weight (Kg)]] )</f>
        <v>264.87656446920687</v>
      </c>
      <c r="S7" s="30">
        <f>1/(1+SQRT(Motors5[[#This Row],[Free Current (A) ]]/Motors5[[#This Row],[Stall Current (A) ]]))</f>
        <v>0.87528830363143129</v>
      </c>
      <c r="T7" s="30">
        <f>Motors5[[#This Row],[Eff_Op_Point]]^2</f>
        <v>0.76612961447398864</v>
      </c>
      <c r="U7" s="31">
        <f>Motors5[[#This Row],[Eff_Op_Point]]*(1-Motors5[[#This Row],[Eff_Op_Point]])*4*Motors5[[#This Row],[Power]]</f>
        <v>147.01976429232292</v>
      </c>
      <c r="V7" s="26">
        <f>12*(Motors5[[#This Row],[Free Current (A) ]]+Motors5[[#This Row],[Stall Current (A) ]])/2</f>
        <v>814.19999999999993</v>
      </c>
      <c r="W7" s="32">
        <f>Motors5[[#This Row],[Torque]] / (Motors5[[#This Row],[Stall Current (A) ]]-Motors5[[#This Row],[Free Current (A) ]])</f>
        <v>1.8588735831326936E-2</v>
      </c>
      <c r="X7" s="31">
        <f>Motors5[[#This Row],[Free Speed (rpm) ]] / Motors5[[#This Row],[Vtest]]</f>
        <v>442.5</v>
      </c>
      <c r="Y7" s="32">
        <f>(1-Motors5[[#This Row],[Io/Is]]) *60 / (2*PI()* Motors5[[#This Row],[Kv_meas]])</f>
        <v>2.1142234316170728E-2</v>
      </c>
      <c r="Z7" s="31">
        <f>Motors5[[#This Row],[wo]]/Motors5[[#This Row],[Vtest]] / (1-Motors5[[#This Row],[Io/Is]])</f>
        <v>47.298690623022082</v>
      </c>
      <c r="AA7" s="33">
        <f>Motors5[[#This Row],[Ki]]*Motors5[[#This Row],[KV]] * (1-Motors5[[#This Row],[Io/Is]])^2</f>
        <v>0.84388744048435016</v>
      </c>
      <c r="AB7" s="71">
        <f t="shared" si="0"/>
        <v>0.85</v>
      </c>
      <c r="AC7" s="34">
        <f>Motors5[[#This Row],[Test Point]]*Motors5[[#This Row],[Free Current (A) ]]+(1-Motors5[[#This Row],[Test Point]]) * Motors5[[#This Row],[Stall Current (A) ]]</f>
        <v>22.245000000000005</v>
      </c>
      <c r="AD7" s="26">
        <f>Motors5[[#This Row],[I@tp]]*Motors5[[#This Row],[Vtest]]</f>
        <v>266.94000000000005</v>
      </c>
      <c r="AE7" s="26">
        <f>Motors5[[#This Row],[Test Point]] * (1-Motors5[[#This Row],[Test Point]])*Motors5[[#This Row],[wo]]*Motors5[[#This Row],[Torque]]</f>
        <v>171.72265526416044</v>
      </c>
      <c r="AF7" s="26">
        <f>Motors5[[#This Row],[I@tp]]^2*Motors5[[#This Row],[Rm (ohms)]]</f>
        <v>44.647220300751897</v>
      </c>
      <c r="AG7" s="26">
        <f>Motors5[[#This Row],[Pin @tpv]]-(SUM(Motors5[[#This Row],[PMech]:[Parmature]]))</f>
        <v>50.570124435087735</v>
      </c>
      <c r="AH7" s="26">
        <f>Motors5[[#This Row],[Io/Is]]*Motors5[[#This Row],[Torque]] * Motors5[[#This Row],[wo]]*Motors5[[#This Row],[Test Point]]</f>
        <v>23.240660110939007</v>
      </c>
      <c r="AI7" s="26">
        <f>Motors5[[#This Row],[P_in - Pout at TP]]-Motors5[[#This Row],[Pout_mechanical]]</f>
        <v>27.329464324148727</v>
      </c>
    </row>
    <row r="8" spans="1:35" ht="28">
      <c r="A8" s="21" t="s">
        <v>78</v>
      </c>
      <c r="B8" s="22" t="s">
        <v>79</v>
      </c>
      <c r="C8" s="22" t="str">
        <f>Motors5[[#This Row],[Make ]] &amp; CHAR(13) &amp; "  " &amp; Motors5[[#This Row],[Part Number ]]</f>
        <v xml:space="preserve">BaneBots _x000D_  M7-RS775-18 </v>
      </c>
      <c r="D8" s="23">
        <v>273</v>
      </c>
      <c r="E8" s="23">
        <v>113</v>
      </c>
      <c r="F8" s="23">
        <v>13000</v>
      </c>
      <c r="G8" s="23">
        <v>1.8</v>
      </c>
      <c r="H8" s="23">
        <v>87</v>
      </c>
      <c r="I8" s="36"/>
      <c r="J8" s="36">
        <v>0.33700000000000002</v>
      </c>
      <c r="K8" s="24">
        <v>12</v>
      </c>
      <c r="L8" s="25">
        <f>Motors5[[#This Row],[Vtest]]/Motors5[[#This Row],[Stall Current (A) ]]</f>
        <v>0.13793103448275862</v>
      </c>
      <c r="M8" s="26">
        <f>Motors5[[#This Row],[Free Speed (rpm) ]]*2*PI()/60</f>
        <v>1361.3568165555771</v>
      </c>
      <c r="N8" s="27">
        <f>Motors5[[#This Row],[Free Current (A) ]]/Motors5[[#This Row],[Stall Current (A) ]]</f>
        <v>2.0689655172413793E-2</v>
      </c>
      <c r="O8" s="28">
        <f>Motors5[[#This Row],[Stall Torque (oz-in) ]]*0.0070615518333</f>
        <v>0.7979553571629</v>
      </c>
      <c r="P8" s="29">
        <f>Motors5[[#This Row],[wo]]/Motors5[[#This Row],[Torque]]</f>
        <v>1706.0563656039976</v>
      </c>
      <c r="Q8" s="26">
        <f>Motors5[[#This Row],[Torque]]*Motors5[[#This Row],[wo]]/4</f>
        <v>271.57549119518853</v>
      </c>
      <c r="R8" s="26">
        <f>IF(ISBLANK(Motors5[[#This Row],[Weight (Kg)]]),"-", Motors5[[#This Row],[Power]] / Motors5[[#This Row],[Weight (Kg)]] )</f>
        <v>805.8619916771172</v>
      </c>
      <c r="S8" s="30">
        <f>1/(1+SQRT(Motors5[[#This Row],[Free Current (A) ]]/Motors5[[#This Row],[Stall Current (A) ]]))</f>
        <v>0.87424891820694217</v>
      </c>
      <c r="T8" s="30">
        <f>Motors5[[#This Row],[Eff_Op_Point]]^2</f>
        <v>0.76431117098600865</v>
      </c>
      <c r="U8" s="31">
        <f>Motors5[[#This Row],[Eff_Op_Point]]*(1-Motors5[[#This Row],[Eff_Op_Point]])*4*Motors5[[#This Row],[Power]]</f>
        <v>119.42559080966997</v>
      </c>
      <c r="V8" s="26">
        <f>12*(Motors5[[#This Row],[Free Current (A) ]]+Motors5[[#This Row],[Stall Current (A) ]])/2</f>
        <v>532.79999999999995</v>
      </c>
      <c r="W8" s="32">
        <f>Motors5[[#This Row],[Torque]] / (Motors5[[#This Row],[Stall Current (A) ]]-Motors5[[#This Row],[Free Current (A) ]])</f>
        <v>9.3656732061373239E-3</v>
      </c>
      <c r="X8" s="31">
        <f>Motors5[[#This Row],[Free Speed (rpm) ]] / Motors5[[#This Row],[Vtest]]</f>
        <v>1083.3333333333333</v>
      </c>
      <c r="Y8" s="32">
        <f>(1-Motors5[[#This Row],[Io/Is]]) *60 / (2*PI()* Motors5[[#This Row],[Kv_meas]])</f>
        <v>8.6323614757110763E-3</v>
      </c>
      <c r="Z8" s="31">
        <f>Motors5[[#This Row],[wo]]/Motors5[[#This Row],[Vtest]] / (1-Motors5[[#This Row],[Io/Is]])</f>
        <v>115.84315633835604</v>
      </c>
      <c r="AA8" s="35">
        <f>Motors5[[#This Row],[Ki]]*Motors5[[#This Row],[KV]] * (1-Motors5[[#This Row],[Io/Is]])^2</f>
        <v>1.0405191233532127</v>
      </c>
      <c r="AB8" s="71">
        <f t="shared" si="0"/>
        <v>0.85</v>
      </c>
      <c r="AC8" s="34">
        <f>Motors5[[#This Row],[Test Point]]*Motors5[[#This Row],[Free Current (A) ]]+(1-Motors5[[#This Row],[Test Point]]) * Motors5[[#This Row],[Stall Current (A) ]]</f>
        <v>14.580000000000002</v>
      </c>
      <c r="AD8" s="26">
        <f>Motors5[[#This Row],[I@tp]]*Motors5[[#This Row],[Vtest]]</f>
        <v>174.96000000000004</v>
      </c>
      <c r="AE8" s="26">
        <f>Motors5[[#This Row],[Test Point]] * (1-Motors5[[#This Row],[Test Point]])*Motors5[[#This Row],[wo]]*Motors5[[#This Row],[Torque]]</f>
        <v>138.50350050954614</v>
      </c>
      <c r="AF8" s="26">
        <f>Motors5[[#This Row],[I@tp]]^2*Motors5[[#This Row],[Rm (ohms)]]</f>
        <v>29.320882758620698</v>
      </c>
      <c r="AG8" s="26">
        <f>Motors5[[#This Row],[Pin @tpv]]-(SUM(Motors5[[#This Row],[PMech]:[Parmature]]))</f>
        <v>7.1356167318331813</v>
      </c>
      <c r="AH8" s="26">
        <f>Motors5[[#This Row],[Io/Is]]*Motors5[[#This Row],[Torque]] * Motors5[[#This Row],[wo]]*Motors5[[#This Row],[Test Point]]</f>
        <v>19.103931104764985</v>
      </c>
      <c r="AI8" s="26">
        <f>Motors5[[#This Row],[P_in - Pout at TP]]-Motors5[[#This Row],[Pout_mechanical]]</f>
        <v>-11.968314372931804</v>
      </c>
    </row>
    <row r="9" spans="1:35" ht="56">
      <c r="A9" s="21" t="s">
        <v>78</v>
      </c>
      <c r="B9" s="22" t="s">
        <v>80</v>
      </c>
      <c r="C9" s="22" t="str">
        <f>Motors5[[#This Row],[Make ]] &amp; CHAR(13) &amp; "  " &amp; Motors5[[#This Row],[Part Number ]]</f>
        <v xml:space="preserve">BaneBots _x000D_  M5-RS550-12 M5-RS550-12-B </v>
      </c>
      <c r="D9" s="23">
        <v>254</v>
      </c>
      <c r="E9" s="23">
        <v>71</v>
      </c>
      <c r="F9" s="23">
        <v>19300</v>
      </c>
      <c r="G9" s="23">
        <v>1.4</v>
      </c>
      <c r="H9" s="23">
        <v>85</v>
      </c>
      <c r="I9" s="36"/>
      <c r="J9" s="36">
        <v>0.218</v>
      </c>
      <c r="K9" s="24">
        <v>12</v>
      </c>
      <c r="L9" s="37">
        <f>Motors5[[#This Row],[Vtest]]/Motors5[[#This Row],[Stall Current (A) ]]</f>
        <v>0.14117647058823529</v>
      </c>
      <c r="M9" s="38">
        <f>Motors5[[#This Row],[Free Speed (rpm) ]]*2*PI()/60</f>
        <v>2021.0912738094337</v>
      </c>
      <c r="N9" s="39">
        <f>Motors5[[#This Row],[Free Current (A) ]]/Motors5[[#This Row],[Stall Current (A) ]]</f>
        <v>1.6470588235294115E-2</v>
      </c>
      <c r="O9" s="40">
        <f>Motors5[[#This Row],[Stall Torque (oz-in) ]]*0.0070615518333</f>
        <v>0.50137018016430002</v>
      </c>
      <c r="P9" s="41">
        <f>Motors5[[#This Row],[wo]]/Motors5[[#This Row],[Torque]]</f>
        <v>4031.1357830398251</v>
      </c>
      <c r="Q9" s="42">
        <f>Motors5[[#This Row],[Torque]]*Motors5[[#This Row],[wo]]/4</f>
        <v>253.32872401958261</v>
      </c>
      <c r="R9" s="42">
        <f>IF(ISBLANK(Motors5[[#This Row],[Weight (Kg)]]),"-", Motors5[[#This Row],[Power]] / Motors5[[#This Row],[Weight (Kg)]] )</f>
        <v>1162.0583670623055</v>
      </c>
      <c r="S9" s="43">
        <f>1/(1+SQRT(Motors5[[#This Row],[Free Current (A) ]]/Motors5[[#This Row],[Stall Current (A) ]]))</f>
        <v>0.88625942446608008</v>
      </c>
      <c r="T9" s="43">
        <f>Motors5[[#This Row],[Eff_Op_Point]]^2</f>
        <v>0.7854557674549475</v>
      </c>
      <c r="U9" s="42">
        <f>Motors5[[#This Row],[Eff_Op_Point]]*(1-Motors5[[#This Row],[Eff_Op_Point]])*4*Motors5[[#This Row],[Power]]</f>
        <v>102.14584722855146</v>
      </c>
      <c r="V9" s="42">
        <f>12*(Motors5[[#This Row],[Free Current (A) ]]+Motors5[[#This Row],[Stall Current (A) ]])/2</f>
        <v>518.40000000000009</v>
      </c>
      <c r="W9" s="44">
        <f>Motors5[[#This Row],[Torque]] / (Motors5[[#This Row],[Stall Current (A) ]]-Motors5[[#This Row],[Free Current (A) ]])</f>
        <v>5.9972509589031105E-3</v>
      </c>
      <c r="X9" s="45">
        <f>Motors5[[#This Row],[Free Speed (rpm) ]] / Motors5[[#This Row],[Vtest]]</f>
        <v>1608.3333333333333</v>
      </c>
      <c r="Y9" s="32">
        <f>(1-Motors5[[#This Row],[Io/Is]]) *60 / (2*PI()* Motors5[[#This Row],[Kv_meas]])</f>
        <v>5.8395942301660252E-3</v>
      </c>
      <c r="Z9" s="45">
        <f>Motors5[[#This Row],[wo]]/Motors5[[#This Row],[Vtest]] / (1-Motors5[[#This Row],[Io/Is]])</f>
        <v>171.24477499382164</v>
      </c>
      <c r="AA9" s="46">
        <f>Motors5[[#This Row],[Ki]]*Motors5[[#This Row],[KV]] * (1-Motors5[[#This Row],[Io/Is]])^2</f>
        <v>0.99344597654738276</v>
      </c>
      <c r="AB9" s="72">
        <f t="shared" si="0"/>
        <v>0.85</v>
      </c>
      <c r="AC9" s="73">
        <f>Motors5[[#This Row],[Test Point]]*Motors5[[#This Row],[Free Current (A) ]]+(1-Motors5[[#This Row],[Test Point]]) * Motors5[[#This Row],[Stall Current (A) ]]</f>
        <v>13.940000000000001</v>
      </c>
      <c r="AD9" s="42">
        <f>Motors5[[#This Row],[I@tp]]*Motors5[[#This Row],[Vtest]]</f>
        <v>167.28000000000003</v>
      </c>
      <c r="AE9" s="42">
        <f>Motors5[[#This Row],[Test Point]] * (1-Motors5[[#This Row],[Test Point]])*Motors5[[#This Row],[wo]]*Motors5[[#This Row],[Torque]]</f>
        <v>129.19764924998714</v>
      </c>
      <c r="AF9" s="42">
        <f>Motors5[[#This Row],[I@tp]]^2*Motors5[[#This Row],[Rm (ohms)]]</f>
        <v>27.433920000000004</v>
      </c>
      <c r="AG9" s="42">
        <f>Motors5[[#This Row],[Pin @tpv]]-(SUM(Motors5[[#This Row],[PMech]:[Parmature]]))</f>
        <v>10.648430750012892</v>
      </c>
      <c r="AH9" s="42">
        <f>Motors5[[#This Row],[Io/Is]]*Motors5[[#This Row],[Torque]] * Motors5[[#This Row],[wo]]*Motors5[[#This Row],[Test Point]]</f>
        <v>14.186408545096626</v>
      </c>
      <c r="AI9" s="42">
        <f>Motors5[[#This Row],[P_in - Pout at TP]]-Motors5[[#This Row],[Pout_mechanical]]</f>
        <v>-3.5379777950837337</v>
      </c>
    </row>
    <row r="10" spans="1:35" ht="28">
      <c r="A10" s="21" t="s">
        <v>81</v>
      </c>
      <c r="B10" s="22" t="s">
        <v>82</v>
      </c>
      <c r="C10" s="22" t="str">
        <f>Motors5[[#This Row],[Make ]] &amp; CHAR(13) &amp; "  " &amp; Motors5[[#This Row],[Part Number ]]</f>
        <v xml:space="preserve">VEX  Mini CIM_x000D_  217-3371 </v>
      </c>
      <c r="D10" s="23">
        <v>229</v>
      </c>
      <c r="E10" s="23">
        <v>198</v>
      </c>
      <c r="F10" s="23">
        <v>6200</v>
      </c>
      <c r="G10" s="23">
        <v>1.8</v>
      </c>
      <c r="H10" s="23">
        <v>86</v>
      </c>
      <c r="I10" s="36"/>
      <c r="J10" s="94">
        <f>2.16*0.454</f>
        <v>0.98064000000000007</v>
      </c>
      <c r="K10" s="24">
        <v>12</v>
      </c>
      <c r="L10" s="25">
        <f>Motors5[[#This Row],[Vtest]]/Motors5[[#This Row],[Stall Current (A) ]]</f>
        <v>0.13953488372093023</v>
      </c>
      <c r="M10" s="26">
        <f>Motors5[[#This Row],[Free Speed (rpm) ]]*2*PI()/60</f>
        <v>649.26248174189061</v>
      </c>
      <c r="N10" s="27">
        <f>Motors5[[#This Row],[Free Current (A) ]]/Motors5[[#This Row],[Stall Current (A) ]]</f>
        <v>2.0930232558139535E-2</v>
      </c>
      <c r="O10" s="28">
        <f>Motors5[[#This Row],[Stall Torque (oz-in) ]]*0.0070615518333</f>
        <v>1.3981872629934</v>
      </c>
      <c r="P10" s="29">
        <f>Motors5[[#This Row],[wo]]/Motors5[[#This Row],[Torque]]</f>
        <v>464.36017472500419</v>
      </c>
      <c r="Q10" s="26">
        <f>Motors5[[#This Row],[Torque]]*Motors5[[#This Row],[wo]]/4</f>
        <v>226.94763307774909</v>
      </c>
      <c r="R10" s="26">
        <f>IF(ISBLANK(Motors5[[#This Row],[Weight (Kg)]]),"-", Motors5[[#This Row],[Power]] / Motors5[[#This Row],[Weight (Kg)]] )</f>
        <v>231.42808072049792</v>
      </c>
      <c r="S10" s="30">
        <f>1/(1+SQRT(Motors5[[#This Row],[Free Current (A) ]]/Motors5[[#This Row],[Stall Current (A) ]]))</f>
        <v>0.87361205686464816</v>
      </c>
      <c r="T10" s="30">
        <f>Motors5[[#This Row],[Eff_Op_Point]]^2</f>
        <v>0.76319802589928121</v>
      </c>
      <c r="U10" s="31">
        <f>Motors5[[#This Row],[Eff_Op_Point]]*(1-Motors5[[#This Row],[Eff_Op_Point]])*4*Motors5[[#This Row],[Power]]</f>
        <v>100.23281194465326</v>
      </c>
      <c r="V10" s="26">
        <f>12*(Motors5[[#This Row],[Free Current (A) ]]+Motors5[[#This Row],[Stall Current (A) ]])/2</f>
        <v>526.79999999999995</v>
      </c>
      <c r="W10" s="32">
        <f>Motors5[[#This Row],[Torque]] / (Motors5[[#This Row],[Stall Current (A) ]]-Motors5[[#This Row],[Free Current (A) ]])</f>
        <v>1.660554944172684E-2</v>
      </c>
      <c r="X10" s="31">
        <f>Motors5[[#This Row],[Free Speed (rpm) ]] / Motors5[[#This Row],[Vtest]]</f>
        <v>516.66666666666663</v>
      </c>
      <c r="Y10" s="32">
        <f>(1-Motors5[[#This Row],[Io/Is]]) *60 / (2*PI()* Motors5[[#This Row],[Kv_meas]])</f>
        <v>1.8095666297830205E-2</v>
      </c>
      <c r="Z10" s="31">
        <f>Motors5[[#This Row],[wo]]/Motors5[[#This Row],[Vtest]] / (1-Motors5[[#This Row],[Io/Is]])</f>
        <v>55.261850187848964</v>
      </c>
      <c r="AA10" s="33">
        <f>Motors5[[#This Row],[Ki]]*Motors5[[#This Row],[KV]] * (1-Motors5[[#This Row],[Io/Is]])^2</f>
        <v>0.87964198867344601</v>
      </c>
      <c r="AB10" s="71">
        <f t="shared" si="0"/>
        <v>0.85</v>
      </c>
      <c r="AC10" s="34">
        <f>Motors5[[#This Row],[Test Point]]*Motors5[[#This Row],[Free Current (A) ]]+(1-Motors5[[#This Row],[Test Point]]) * Motors5[[#This Row],[Stall Current (A) ]]</f>
        <v>14.430000000000001</v>
      </c>
      <c r="AD10" s="26">
        <f>Motors5[[#This Row],[I@tp]]*Motors5[[#This Row],[Vtest]]</f>
        <v>173.16000000000003</v>
      </c>
      <c r="AE10" s="26">
        <f>Motors5[[#This Row],[Test Point]] * (1-Motors5[[#This Row],[Test Point]])*Motors5[[#This Row],[wo]]*Motors5[[#This Row],[Torque]]</f>
        <v>115.74329286965204</v>
      </c>
      <c r="AF10" s="26">
        <f>Motors5[[#This Row],[I@tp]]^2*Motors5[[#This Row],[Rm (ohms)]]</f>
        <v>29.054637209302332</v>
      </c>
      <c r="AG10" s="26">
        <f>Motors5[[#This Row],[Pin @tpv]]-(SUM(Motors5[[#This Row],[PMech]:[Parmature]]))</f>
        <v>28.362069921045645</v>
      </c>
      <c r="AH10" s="26">
        <f>Motors5[[#This Row],[Io/Is]]*Motors5[[#This Row],[Torque]] * Motors5[[#This Row],[wo]]*Motors5[[#This Row],[Test Point]]</f>
        <v>16.15022691204447</v>
      </c>
      <c r="AI10" s="26">
        <f>Motors5[[#This Row],[P_in - Pout at TP]]-Motors5[[#This Row],[Pout_mechanical]]</f>
        <v>12.211843009001175</v>
      </c>
    </row>
    <row r="11" spans="1:35" ht="28">
      <c r="A11" s="47" t="s">
        <v>83</v>
      </c>
      <c r="B11" s="48" t="s">
        <v>84</v>
      </c>
      <c r="C11" s="48" t="str">
        <f>Motors5[[#This Row],[Make ]] &amp; CHAR(13) &amp; "  " &amp; Motors5[[#This Row],[Part Number ]]</f>
        <v xml:space="preserve">AndyMark _x000D_  am-0912 </v>
      </c>
      <c r="D11" s="49">
        <v>179</v>
      </c>
      <c r="E11" s="49">
        <v>61</v>
      </c>
      <c r="F11" s="49">
        <v>16000</v>
      </c>
      <c r="G11" s="49">
        <v>1.2</v>
      </c>
      <c r="H11" s="49">
        <v>64</v>
      </c>
      <c r="I11" s="50"/>
      <c r="J11" s="50"/>
      <c r="K11" s="24">
        <v>12</v>
      </c>
      <c r="L11" s="25">
        <f>Motors5[[#This Row],[Vtest]]/Motors5[[#This Row],[Stall Current (A) ]]</f>
        <v>0.1875</v>
      </c>
      <c r="M11" s="26">
        <f>Motors5[[#This Row],[Free Speed (rpm) ]]*2*PI()/60</f>
        <v>1675.5160819145563</v>
      </c>
      <c r="N11" s="27">
        <f>Motors5[[#This Row],[Free Current (A) ]]/Motors5[[#This Row],[Stall Current (A) ]]</f>
        <v>1.8749999999999999E-2</v>
      </c>
      <c r="O11" s="28">
        <f>Motors5[[#This Row],[Stall Torque (oz-in) ]]*0.0070615518333</f>
        <v>0.43075466183130001</v>
      </c>
      <c r="P11" s="29">
        <f>Motors5[[#This Row],[wo]]/Motors5[[#This Row],[Torque]]</f>
        <v>3889.7224577705265</v>
      </c>
      <c r="Q11" s="26">
        <f>Motors5[[#This Row],[Torque]]*Motors5[[#This Row],[wo]]/4</f>
        <v>180.43409081450235</v>
      </c>
      <c r="R11" s="26" t="str">
        <f>IF(ISBLANK(Motors5[[#This Row],[Weight (Kg)]]),"-", Motors5[[#This Row],[Power]] / Motors5[[#This Row],[Weight (Kg)]] )</f>
        <v>-</v>
      </c>
      <c r="S11" s="30">
        <f>1/(1+SQRT(Motors5[[#This Row],[Free Current (A) ]]/Motors5[[#This Row],[Stall Current (A) ]]))</f>
        <v>0.87956113184581763</v>
      </c>
      <c r="T11" s="30">
        <f>Motors5[[#This Row],[Eff_Op_Point]]^2</f>
        <v>0.77362778465389581</v>
      </c>
      <c r="U11" s="31">
        <f>Motors5[[#This Row],[Eff_Op_Point]]*(1-Motors5[[#This Row],[Eff_Op_Point]])*4*Motors5[[#This Row],[Power]]</f>
        <v>76.455948750045735</v>
      </c>
      <c r="V11" s="26">
        <f>12*(Motors5[[#This Row],[Free Current (A) ]]+Motors5[[#This Row],[Stall Current (A) ]])/2</f>
        <v>391.20000000000005</v>
      </c>
      <c r="W11" s="32">
        <f>Motors5[[#This Row],[Torque]] / (Motors5[[#This Row],[Stall Current (A) ]]-Motors5[[#This Row],[Free Current (A) ]])</f>
        <v>6.8591506661035036E-3</v>
      </c>
      <c r="X11" s="31">
        <f>Motors5[[#This Row],[Free Speed (rpm) ]] / Motors5[[#This Row],[Vtest]]</f>
        <v>1333.3333333333333</v>
      </c>
      <c r="Y11" s="32">
        <f>(1-Motors5[[#This Row],[Io/Is]]) *60 / (2*PI()* Motors5[[#This Row],[Kv_meas]])</f>
        <v>7.0276854559015037E-3</v>
      </c>
      <c r="Z11" s="31">
        <f>Motors5[[#This Row],[wo]]/Motors5[[#This Row],[Vtest]] / (1-Motors5[[#This Row],[Io/Is]])</f>
        <v>142.29435939826379</v>
      </c>
      <c r="AA11" s="33">
        <f>Motors5[[#This Row],[Ki]]*Motors5[[#This Row],[KV]] * (1-Motors5[[#This Row],[Io/Is]])^2</f>
        <v>0.93976088965886639</v>
      </c>
      <c r="AB11" s="71">
        <f t="shared" si="0"/>
        <v>0.85</v>
      </c>
      <c r="AC11" s="34">
        <f>Motors5[[#This Row],[Test Point]]*Motors5[[#This Row],[Free Current (A) ]]+(1-Motors5[[#This Row],[Test Point]]) * Motors5[[#This Row],[Stall Current (A) ]]</f>
        <v>10.620000000000001</v>
      </c>
      <c r="AD11" s="26">
        <f>Motors5[[#This Row],[I@tp]]*Motors5[[#This Row],[Vtest]]</f>
        <v>127.44000000000001</v>
      </c>
      <c r="AE11" s="26">
        <f>Motors5[[#This Row],[Test Point]] * (1-Motors5[[#This Row],[Test Point]])*Motors5[[#This Row],[wo]]*Motors5[[#This Row],[Torque]]</f>
        <v>92.0213863153962</v>
      </c>
      <c r="AF11" s="26">
        <f>Motors5[[#This Row],[I@tp]]^2*Motors5[[#This Row],[Rm (ohms)]]</f>
        <v>21.147075000000005</v>
      </c>
      <c r="AG11" s="26">
        <f>Motors5[[#This Row],[Pin @tpv]]-(SUM(Motors5[[#This Row],[PMech]:[Parmature]]))</f>
        <v>14.271538684603811</v>
      </c>
      <c r="AH11" s="26">
        <f>Motors5[[#This Row],[Io/Is]]*Motors5[[#This Row],[Torque]] * Motors5[[#This Row],[wo]]*Motors5[[#This Row],[Test Point]]</f>
        <v>11.502673289424525</v>
      </c>
      <c r="AI11" s="26">
        <f>Motors5[[#This Row],[P_in - Pout at TP]]-Motors5[[#This Row],[Pout_mechanical]]</f>
        <v>2.7688653951792865</v>
      </c>
    </row>
    <row r="12" spans="1:35" ht="28">
      <c r="A12" s="21" t="s">
        <v>85</v>
      </c>
      <c r="B12" s="22" t="s">
        <v>86</v>
      </c>
      <c r="C12" s="22" t="str">
        <f>Motors5[[#This Row],[Make ]] &amp; CHAR(13) &amp; "  " &amp; Motors5[[#This Row],[Part Number ]]</f>
        <v xml:space="preserve">VEX bag motor_x000D_  217-3351 </v>
      </c>
      <c r="D12" s="23">
        <v>149</v>
      </c>
      <c r="E12" s="23">
        <v>57</v>
      </c>
      <c r="F12" s="23">
        <v>14000</v>
      </c>
      <c r="G12" s="23">
        <v>1.8</v>
      </c>
      <c r="H12" s="23">
        <v>41</v>
      </c>
      <c r="I12" s="36"/>
      <c r="J12" s="36">
        <v>0.32</v>
      </c>
      <c r="K12" s="24">
        <v>12</v>
      </c>
      <c r="L12" s="25">
        <f>Motors5[[#This Row],[Vtest]]/Motors5[[#This Row],[Stall Current (A) ]]</f>
        <v>0.29268292682926828</v>
      </c>
      <c r="M12" s="26">
        <f>Motors5[[#This Row],[Free Speed (rpm) ]]*2*PI()/60</f>
        <v>1466.0765716752367</v>
      </c>
      <c r="N12" s="27">
        <f>Motors5[[#This Row],[Free Current (A) ]]/Motors5[[#This Row],[Stall Current (A) ]]</f>
        <v>4.3902439024390248E-2</v>
      </c>
      <c r="O12" s="28">
        <f>Motors5[[#This Row],[Stall Torque (oz-in) ]]*0.0070615518333</f>
        <v>0.40250845449810002</v>
      </c>
      <c r="P12" s="29">
        <f>Motors5[[#This Row],[wo]]/Motors5[[#This Row],[Torque]]</f>
        <v>3642.3497576052955</v>
      </c>
      <c r="Q12" s="26">
        <f>Motors5[[#This Row],[Torque]]*Motors5[[#This Row],[wo]]/4</f>
        <v>147.52705376021811</v>
      </c>
      <c r="R12" s="26">
        <f>IF(ISBLANK(Motors5[[#This Row],[Weight (Kg)]]),"-", Motors5[[#This Row],[Power]] / Motors5[[#This Row],[Weight (Kg)]] )</f>
        <v>461.02204300068161</v>
      </c>
      <c r="S12" s="30">
        <f>1/(1+SQRT(Motors5[[#This Row],[Free Current (A) ]]/Motors5[[#This Row],[Stall Current (A) ]]))</f>
        <v>0.82676804494985179</v>
      </c>
      <c r="T12" s="30">
        <f>Motors5[[#This Row],[Eff_Op_Point]]^2</f>
        <v>0.68354540015020016</v>
      </c>
      <c r="U12" s="31">
        <f>Motors5[[#This Row],[Eff_Op_Point]]*(1-Motors5[[#This Row],[Eff_Op_Point]])*4*Motors5[[#This Row],[Power]]</f>
        <v>84.516859276155316</v>
      </c>
      <c r="V12" s="26">
        <f>12*(Motors5[[#This Row],[Free Current (A) ]]+Motors5[[#This Row],[Stall Current (A) ]])/2</f>
        <v>256.79999999999995</v>
      </c>
      <c r="W12" s="32">
        <f>Motors5[[#This Row],[Torque]] / (Motors5[[#This Row],[Stall Current (A) ]]-Motors5[[#This Row],[Free Current (A) ]])</f>
        <v>1.0268072818829082E-2</v>
      </c>
      <c r="X12" s="31">
        <f>Motors5[[#This Row],[Free Speed (rpm) ]] / Motors5[[#This Row],[Vtest]]</f>
        <v>1166.6666666666667</v>
      </c>
      <c r="Y12" s="32">
        <f>(1-Motors5[[#This Row],[Io/Is]]) *60 / (2*PI()* Motors5[[#This Row],[Kv_meas]])</f>
        <v>7.8257650066649014E-3</v>
      </c>
      <c r="Z12" s="31">
        <f>Motors5[[#This Row],[wo]]/Motors5[[#This Row],[Vtest]] / (1-Motors5[[#This Row],[Io/Is]])</f>
        <v>127.78303452101341</v>
      </c>
      <c r="AA12" s="35">
        <f>Motors5[[#This Row],[Ki]]*Motors5[[#This Row],[KV]] * (1-Motors5[[#This Row],[Io/Is]])^2</f>
        <v>1.1994069411399848</v>
      </c>
      <c r="AB12" s="71">
        <f t="shared" si="0"/>
        <v>0.85</v>
      </c>
      <c r="AC12" s="34">
        <f>Motors5[[#This Row],[Test Point]]*Motors5[[#This Row],[Free Current (A) ]]+(1-Motors5[[#This Row],[Test Point]]) * Motors5[[#This Row],[Stall Current (A) ]]</f>
        <v>7.6800000000000015</v>
      </c>
      <c r="AD12" s="26">
        <f>Motors5[[#This Row],[I@tp]]*Motors5[[#This Row],[Vtest]]</f>
        <v>92.160000000000025</v>
      </c>
      <c r="AE12" s="26">
        <f>Motors5[[#This Row],[Test Point]] * (1-Motors5[[#This Row],[Test Point]])*Motors5[[#This Row],[wo]]*Motors5[[#This Row],[Torque]]</f>
        <v>75.23879741771124</v>
      </c>
      <c r="AF12" s="26">
        <f>Motors5[[#This Row],[I@tp]]^2*Motors5[[#This Row],[Rm (ohms)]]</f>
        <v>17.263141463414637</v>
      </c>
      <c r="AG12" s="26">
        <f>Motors5[[#This Row],[Pin @tpv]]-(SUM(Motors5[[#This Row],[PMech]:[Parmature]]))</f>
        <v>-0.34193888112585569</v>
      </c>
      <c r="AH12" s="26">
        <f>Motors5[[#This Row],[Io/Is]]*Motors5[[#This Row],[Torque]] * Motors5[[#This Row],[wo]]*Motors5[[#This Row],[Test Point]]</f>
        <v>22.02111143933012</v>
      </c>
      <c r="AI12" s="26">
        <f>Motors5[[#This Row],[P_in - Pout at TP]]-Motors5[[#This Row],[Pout_mechanical]]</f>
        <v>-22.363050320455976</v>
      </c>
    </row>
    <row r="13" spans="1:35" ht="25" customHeight="1">
      <c r="A13" s="21" t="s">
        <v>78</v>
      </c>
      <c r="B13" s="22" t="s">
        <v>87</v>
      </c>
      <c r="C13" s="22" t="str">
        <f>Motors5[[#This Row],[Make ]] &amp; CHAR(13) &amp; "  " &amp; Motors5[[#This Row],[Part Number ]]</f>
        <v xml:space="preserve">BaneBots _x000D_  M5-RS540-12 </v>
      </c>
      <c r="D13" s="23">
        <v>123</v>
      </c>
      <c r="E13" s="23">
        <v>39</v>
      </c>
      <c r="F13" s="23">
        <v>16800</v>
      </c>
      <c r="G13" s="23">
        <v>1</v>
      </c>
      <c r="H13" s="23">
        <v>42</v>
      </c>
      <c r="I13" s="36"/>
      <c r="J13" s="36">
        <v>0.153</v>
      </c>
      <c r="K13" s="24">
        <v>12</v>
      </c>
      <c r="L13" s="25">
        <f>Motors5[[#This Row],[Vtest]]/Motors5[[#This Row],[Stall Current (A) ]]</f>
        <v>0.2857142857142857</v>
      </c>
      <c r="M13" s="38">
        <f>Motors5[[#This Row],[Free Speed (rpm) ]]*2*PI()/60</f>
        <v>1759.2918860102841</v>
      </c>
      <c r="N13" s="39">
        <f>Motors5[[#This Row],[Free Current (A) ]]/Motors5[[#This Row],[Stall Current (A) ]]</f>
        <v>2.3809523809523808E-2</v>
      </c>
      <c r="O13" s="40">
        <f>Motors5[[#This Row],[Stall Torque (oz-in) ]]*0.0070615518333</f>
        <v>0.27540052149870003</v>
      </c>
      <c r="P13" s="41">
        <f>Motors5[[#This Row],[wo]]/Motors5[[#This Row],[Torque]]</f>
        <v>6388.1211133385177</v>
      </c>
      <c r="Q13" s="42">
        <f>Motors5[[#This Row],[Torque]]*Motors5[[#This Row],[wo]]/4</f>
        <v>121.12747571891595</v>
      </c>
      <c r="R13" s="42">
        <f>IF(ISBLANK(Motors5[[#This Row],[Weight (Kg)]]),"-", Motors5[[#This Row],[Power]] / Motors5[[#This Row],[Weight (Kg)]] )</f>
        <v>791.68284783605191</v>
      </c>
      <c r="S13" s="43">
        <f>1/(1+SQRT(Motors5[[#This Row],[Free Current (A) ]]/Motors5[[#This Row],[Stall Current (A) ]]))</f>
        <v>0.86632339759980836</v>
      </c>
      <c r="T13" s="43">
        <f>Motors5[[#This Row],[Eff_Op_Point]]^2</f>
        <v>0.75051622922887562</v>
      </c>
      <c r="U13" s="42">
        <f>Motors5[[#This Row],[Eff_Op_Point]]*(1-Motors5[[#This Row],[Eff_Op_Point]])*4*Motors5[[#This Row],[Power]]</f>
        <v>56.109719899706256</v>
      </c>
      <c r="V13" s="42">
        <f>12*(Motors5[[#This Row],[Free Current (A) ]]+Motors5[[#This Row],[Stall Current (A) ]])/2</f>
        <v>258</v>
      </c>
      <c r="W13" s="44">
        <f>Motors5[[#This Row],[Torque]] / (Motors5[[#This Row],[Stall Current (A) ]]-Motors5[[#This Row],[Free Current (A) ]])</f>
        <v>6.7170858902121959E-3</v>
      </c>
      <c r="X13" s="45">
        <f>Motors5[[#This Row],[Free Speed (rpm) ]] / Motors5[[#This Row],[Vtest]]</f>
        <v>1400</v>
      </c>
      <c r="Y13" s="32">
        <f>(1-Motors5[[#This Row],[Io/Is]]) *60 / (2*PI()* Motors5[[#This Row],[Kv_meas]])</f>
        <v>6.658523129354805E-3</v>
      </c>
      <c r="Z13" s="45">
        <f>Motors5[[#This Row],[wo]]/Motors5[[#This Row],[Vtest]] / (1-Motors5[[#This Row],[Io/Is]])</f>
        <v>150.18345368380474</v>
      </c>
      <c r="AA13" s="46">
        <f>Motors5[[#This Row],[Ki]]*Motors5[[#This Row],[KV]] * (1-Motors5[[#This Row],[Io/Is]])^2</f>
        <v>0.96132917237234861</v>
      </c>
      <c r="AB13" s="72">
        <f t="shared" si="0"/>
        <v>0.85</v>
      </c>
      <c r="AC13" s="73">
        <f>Motors5[[#This Row],[Test Point]]*Motors5[[#This Row],[Free Current (A) ]]+(1-Motors5[[#This Row],[Test Point]]) * Motors5[[#This Row],[Stall Current (A) ]]</f>
        <v>7.15</v>
      </c>
      <c r="AD13" s="42">
        <f>Motors5[[#This Row],[I@tp]]*Motors5[[#This Row],[Vtest]]</f>
        <v>85.800000000000011</v>
      </c>
      <c r="AE13" s="42">
        <f>Motors5[[#This Row],[Test Point]] * (1-Motors5[[#This Row],[Test Point]])*Motors5[[#This Row],[wo]]*Motors5[[#This Row],[Torque]]</f>
        <v>61.775012616647132</v>
      </c>
      <c r="AF13" s="42">
        <f>Motors5[[#This Row],[I@tp]]^2*Motors5[[#This Row],[Rm (ohms)]]</f>
        <v>14.606428571428571</v>
      </c>
      <c r="AG13" s="42">
        <f>Motors5[[#This Row],[Pin @tpv]]-(SUM(Motors5[[#This Row],[PMech]:[Parmature]]))</f>
        <v>9.4185588119243135</v>
      </c>
      <c r="AH13" s="42">
        <f>Motors5[[#This Row],[Io/Is]]*Motors5[[#This Row],[Torque]] * Motors5[[#This Row],[wo]]*Motors5[[#This Row],[Test Point]]</f>
        <v>9.8055575581979575</v>
      </c>
      <c r="AI13" s="42">
        <f>Motors5[[#This Row],[P_in - Pout at TP]]-Motors5[[#This Row],[Pout_mechanical]]</f>
        <v>-0.38699874627364395</v>
      </c>
    </row>
    <row r="14" spans="1:35" ht="24" customHeight="1">
      <c r="A14" s="21" t="s">
        <v>78</v>
      </c>
      <c r="B14" s="22" t="s">
        <v>88</v>
      </c>
      <c r="C14" s="22" t="str">
        <f>Motors5[[#This Row],[Make ]] &amp; CHAR(13) &amp; "  " &amp; Motors5[[#This Row],[Part Number ]]</f>
        <v xml:space="preserve">BaneBots _x000D_  M7-RS775-12 </v>
      </c>
      <c r="D14" s="23">
        <v>83</v>
      </c>
      <c r="E14" s="23">
        <v>61</v>
      </c>
      <c r="F14" s="23">
        <v>7300</v>
      </c>
      <c r="G14" s="23">
        <v>1.1000000000000001</v>
      </c>
      <c r="H14" s="23">
        <v>30</v>
      </c>
      <c r="I14" s="36"/>
      <c r="J14" s="96">
        <v>0.35199999999999998</v>
      </c>
      <c r="K14" s="24">
        <v>12</v>
      </c>
      <c r="L14" s="25">
        <f>Motors5[[#This Row],[Vtest]]/Motors5[[#This Row],[Stall Current (A) ]]</f>
        <v>0.4</v>
      </c>
      <c r="M14" s="26">
        <f>Motors5[[#This Row],[Free Speed (rpm) ]]*2*PI()/60</f>
        <v>764.45421237351627</v>
      </c>
      <c r="N14" s="27">
        <f>Motors5[[#This Row],[Free Current (A) ]]/Motors5[[#This Row],[Stall Current (A) ]]</f>
        <v>3.6666666666666667E-2</v>
      </c>
      <c r="O14" s="28">
        <f>Motors5[[#This Row],[Stall Torque (oz-in) ]]*0.0070615518333</f>
        <v>0.43075466183130001</v>
      </c>
      <c r="P14" s="29">
        <f>Motors5[[#This Row],[wo]]/Motors5[[#This Row],[Torque]]</f>
        <v>1774.6858713578026</v>
      </c>
      <c r="Q14" s="26">
        <f>Motors5[[#This Row],[Torque]]*Motors5[[#This Row],[wo]]/4</f>
        <v>82.3230539341167</v>
      </c>
      <c r="R14" s="26">
        <f>IF(ISBLANK(Motors5[[#This Row],[Weight (Kg)]]),"-", Motors5[[#This Row],[Power]] / Motors5[[#This Row],[Weight (Kg)]] )</f>
        <v>233.87231231283155</v>
      </c>
      <c r="S14" s="30">
        <f>1/(1+SQRT(Motors5[[#This Row],[Free Current (A) ]]/Motors5[[#This Row],[Stall Current (A) ]]))</f>
        <v>0.83928848973916859</v>
      </c>
      <c r="T14" s="30">
        <f>Motors5[[#This Row],[Eff_Op_Point]]^2</f>
        <v>0.70440516900865446</v>
      </c>
      <c r="U14" s="31">
        <f>Motors5[[#This Row],[Eff_Op_Point]]*(1-Motors5[[#This Row],[Eff_Op_Point]])*4*Motors5[[#This Row],[Power]]</f>
        <v>44.416027549243495</v>
      </c>
      <c r="V14" s="26">
        <f>12*(Motors5[[#This Row],[Free Current (A) ]]+Motors5[[#This Row],[Stall Current (A) ]])/2</f>
        <v>186.60000000000002</v>
      </c>
      <c r="W14" s="32">
        <f>Motors5[[#This Row],[Torque]] / (Motors5[[#This Row],[Stall Current (A) ]]-Motors5[[#This Row],[Free Current (A) ]])</f>
        <v>1.4905005599698963E-2</v>
      </c>
      <c r="X14" s="31">
        <f>Motors5[[#This Row],[Free Speed (rpm) ]] / Motors5[[#This Row],[Vtest]]</f>
        <v>608.33333333333337</v>
      </c>
      <c r="Y14" s="32">
        <f>(1-Motors5[[#This Row],[Io/Is]]) *60 / (2*PI()* Motors5[[#This Row],[Kv_meas]])</f>
        <v>1.5121899798429947E-2</v>
      </c>
      <c r="Z14" s="31">
        <f>Motors5[[#This Row],[wo]]/Motors5[[#This Row],[Vtest]] / (1-Motors5[[#This Row],[Io/Is]])</f>
        <v>66.1292571257367</v>
      </c>
      <c r="AA14" s="33">
        <f>Motors5[[#This Row],[Ki]]*Motors5[[#This Row],[KV]] * (1-Motors5[[#This Row],[Io/Is]])^2</f>
        <v>0.91470059926796343</v>
      </c>
      <c r="AB14" s="71">
        <f t="shared" si="0"/>
        <v>0.85</v>
      </c>
      <c r="AC14" s="34">
        <f>Motors5[[#This Row],[Test Point]]*Motors5[[#This Row],[Free Current (A) ]]+(1-Motors5[[#This Row],[Test Point]]) * Motors5[[#This Row],[Stall Current (A) ]]</f>
        <v>5.4350000000000005</v>
      </c>
      <c r="AD14" s="26">
        <f>Motors5[[#This Row],[I@tp]]*Motors5[[#This Row],[Vtest]]</f>
        <v>65.22</v>
      </c>
      <c r="AE14" s="26">
        <f>Motors5[[#This Row],[Test Point]] * (1-Motors5[[#This Row],[Test Point]])*Motors5[[#This Row],[wo]]*Motors5[[#This Row],[Torque]]</f>
        <v>41.984757506399518</v>
      </c>
      <c r="AF14" s="26">
        <f>Motors5[[#This Row],[I@tp]]^2*Motors5[[#This Row],[Rm (ohms)]]</f>
        <v>11.815690000000004</v>
      </c>
      <c r="AG14" s="26">
        <f>Motors5[[#This Row],[Pin @tpv]]-(SUM(Motors5[[#This Row],[PMech]:[Parmature]]))</f>
        <v>11.419552493600477</v>
      </c>
      <c r="AH14" s="26">
        <f>Motors5[[#This Row],[Io/Is]]*Motors5[[#This Row],[Torque]] * Motors5[[#This Row],[wo]]*Motors5[[#This Row],[Test Point]]</f>
        <v>10.262940723786548</v>
      </c>
      <c r="AI14" s="26">
        <f>Motors5[[#This Row],[P_in - Pout at TP]]-Motors5[[#This Row],[Pout_mechanical]]</f>
        <v>1.1566117698139298</v>
      </c>
    </row>
    <row r="15" spans="1:35" ht="21" customHeight="1">
      <c r="A15" s="21" t="s">
        <v>78</v>
      </c>
      <c r="B15" s="22" t="s">
        <v>89</v>
      </c>
      <c r="C15" s="22" t="str">
        <f>Motors5[[#This Row],[Make ]] &amp; CHAR(13) &amp; "  " &amp; Motors5[[#This Row],[Part Number ]]</f>
        <v xml:space="preserve">BaneBots _x000D_  M5-RS545-12 </v>
      </c>
      <c r="D15" s="23">
        <v>74</v>
      </c>
      <c r="E15" s="23">
        <v>24</v>
      </c>
      <c r="F15" s="23">
        <v>16800</v>
      </c>
      <c r="G15" s="23">
        <v>0.9</v>
      </c>
      <c r="H15" s="23">
        <v>21</v>
      </c>
      <c r="I15" s="36"/>
      <c r="J15" s="36">
        <v>0.17599999999999999</v>
      </c>
      <c r="K15" s="24">
        <v>12</v>
      </c>
      <c r="L15" s="25">
        <f>Motors5[[#This Row],[Vtest]]/Motors5[[#This Row],[Stall Current (A) ]]</f>
        <v>0.5714285714285714</v>
      </c>
      <c r="M15" s="38">
        <f>Motors5[[#This Row],[Free Speed (rpm) ]]*2*PI()/60</f>
        <v>1759.2918860102841</v>
      </c>
      <c r="N15" s="39">
        <f>Motors5[[#This Row],[Free Current (A) ]]/Motors5[[#This Row],[Stall Current (A) ]]</f>
        <v>4.2857142857142858E-2</v>
      </c>
      <c r="O15" s="40">
        <f>Motors5[[#This Row],[Stall Torque (oz-in) ]]*0.0070615518333</f>
        <v>0.1694772439992</v>
      </c>
      <c r="P15" s="41">
        <f>Motors5[[#This Row],[wo]]/Motors5[[#This Row],[Torque]]</f>
        <v>10380.696809175093</v>
      </c>
      <c r="Q15" s="42">
        <f>Motors5[[#This Row],[Torque]]*Motors5[[#This Row],[wo]]/4</f>
        <v>74.539985057794411</v>
      </c>
      <c r="R15" s="42">
        <f>IF(ISBLANK(Motors5[[#This Row],[Weight (Kg)]]),"-", Motors5[[#This Row],[Power]] / Motors5[[#This Row],[Weight (Kg)]] )</f>
        <v>423.5226423738319</v>
      </c>
      <c r="S15" s="43">
        <f>1/(1+SQRT(Motors5[[#This Row],[Free Current (A) ]]/Motors5[[#This Row],[Stall Current (A) ]]))</f>
        <v>0.82848691423597853</v>
      </c>
      <c r="T15" s="43">
        <f>Motors5[[#This Row],[Eff_Op_Point]]^2</f>
        <v>0.6863905670602537</v>
      </c>
      <c r="U15" s="42">
        <f>Motors5[[#This Row],[Eff_Op_Point]]*(1-Motors5[[#This Row],[Eff_Op_Point]])*4*Motors5[[#This Row],[Power]]</f>
        <v>42.367438380982804</v>
      </c>
      <c r="V15" s="42">
        <f>12*(Motors5[[#This Row],[Free Current (A) ]]+Motors5[[#This Row],[Stall Current (A) ]])/2</f>
        <v>131.39999999999998</v>
      </c>
      <c r="W15" s="44">
        <f>Motors5[[#This Row],[Torque]] / (Motors5[[#This Row],[Stall Current (A) ]]-Motors5[[#This Row],[Free Current (A) ]])</f>
        <v>8.4317036815522387E-3</v>
      </c>
      <c r="X15" s="45">
        <f>Motors5[[#This Row],[Free Speed (rpm) ]] / Motors5[[#This Row],[Vtest]]</f>
        <v>1400</v>
      </c>
      <c r="Y15" s="32">
        <f>(1-Motors5[[#This Row],[Io/Is]]) *60 / (2*PI()* Motors5[[#This Row],[Kv_meas]])</f>
        <v>6.5286007268308098E-3</v>
      </c>
      <c r="Z15" s="45">
        <f>Motors5[[#This Row],[wo]]/Motors5[[#This Row],[Vtest]] / (1-Motors5[[#This Row],[Io/Is]])</f>
        <v>153.17217913024862</v>
      </c>
      <c r="AA15" s="51">
        <f>Motors5[[#This Row],[Ki]]*Motors5[[#This Row],[KV]] * (1-Motors5[[#This Row],[Io/Is]])^2</f>
        <v>1.1831743659967371</v>
      </c>
      <c r="AB15" s="72">
        <f t="shared" si="0"/>
        <v>0.85</v>
      </c>
      <c r="AC15" s="73">
        <f>Motors5[[#This Row],[Test Point]]*Motors5[[#This Row],[Free Current (A) ]]+(1-Motors5[[#This Row],[Test Point]]) * Motors5[[#This Row],[Stall Current (A) ]]</f>
        <v>3.9150000000000005</v>
      </c>
      <c r="AD15" s="42">
        <f>Motors5[[#This Row],[I@tp]]*Motors5[[#This Row],[Vtest]]</f>
        <v>46.980000000000004</v>
      </c>
      <c r="AE15" s="42">
        <f>Motors5[[#This Row],[Test Point]] * (1-Motors5[[#This Row],[Test Point]])*Motors5[[#This Row],[wo]]*Motors5[[#This Row],[Torque]]</f>
        <v>38.015392379475152</v>
      </c>
      <c r="AF15" s="42">
        <f>Motors5[[#This Row],[I@tp]]^2*Motors5[[#This Row],[Rm (ohms)]]</f>
        <v>8.7584142857142879</v>
      </c>
      <c r="AG15" s="42">
        <f>Motors5[[#This Row],[Pin @tpv]]-(SUM(Motors5[[#This Row],[PMech]:[Parmature]]))</f>
        <v>0.20619333481056401</v>
      </c>
      <c r="AH15" s="42">
        <f>Motors5[[#This Row],[Io/Is]]*Motors5[[#This Row],[Torque]] * Motors5[[#This Row],[wo]]*Motors5[[#This Row],[Test Point]]</f>
        <v>10.861540679850043</v>
      </c>
      <c r="AI15" s="42">
        <f>Motors5[[#This Row],[P_in - Pout at TP]]-Motors5[[#This Row],[Pout_mechanical]]</f>
        <v>-10.655347345039479</v>
      </c>
    </row>
    <row r="16" spans="1:35" ht="28">
      <c r="A16" s="21" t="s">
        <v>78</v>
      </c>
      <c r="B16" s="22" t="s">
        <v>90</v>
      </c>
      <c r="C16" s="22" t="str">
        <f>Motors5[[#This Row],[Make ]] &amp; CHAR(13) &amp; "  " &amp; Motors5[[#This Row],[Part Number ]]</f>
        <v xml:space="preserve">BaneBots _x000D_  M3-RS395-12 </v>
      </c>
      <c r="D16" s="23">
        <v>48</v>
      </c>
      <c r="E16" s="23">
        <v>17</v>
      </c>
      <c r="F16" s="23">
        <v>15500</v>
      </c>
      <c r="G16" s="23">
        <v>0.5</v>
      </c>
      <c r="H16" s="23">
        <v>15</v>
      </c>
      <c r="I16" s="36"/>
      <c r="J16" s="36">
        <v>9.6000000000000002E-2</v>
      </c>
      <c r="K16" s="24">
        <v>12</v>
      </c>
      <c r="L16" s="25">
        <f>Motors5[[#This Row],[Vtest]]/Motors5[[#This Row],[Stall Current (A) ]]</f>
        <v>0.8</v>
      </c>
      <c r="M16" s="38">
        <f>Motors5[[#This Row],[Free Speed (rpm) ]]*2*PI()/60</f>
        <v>1623.1562043547265</v>
      </c>
      <c r="N16" s="39">
        <f>Motors5[[#This Row],[Free Current (A) ]]/Motors5[[#This Row],[Stall Current (A) ]]</f>
        <v>3.3333333333333333E-2</v>
      </c>
      <c r="O16" s="40">
        <f>Motors5[[#This Row],[Stall Torque (oz-in) ]]*0.0070615518333</f>
        <v>0.1200463811661</v>
      </c>
      <c r="P16" s="41">
        <f>Motors5[[#This Row],[wo]]/Motors5[[#This Row],[Torque]]</f>
        <v>13521.075675816297</v>
      </c>
      <c r="Q16" s="42">
        <f>Motors5[[#This Row],[Torque]]*Motors5[[#This Row],[wo]]/4</f>
        <v>48.7135071000219</v>
      </c>
      <c r="R16" s="42">
        <f>IF(ISBLANK(Motors5[[#This Row],[Weight (Kg)]]),"-", Motors5[[#This Row],[Power]] / Motors5[[#This Row],[Weight (Kg)]] )</f>
        <v>507.4323656252281</v>
      </c>
      <c r="S16" s="43">
        <f>1/(1+SQRT(Motors5[[#This Row],[Free Current (A) ]]/Motors5[[#This Row],[Stall Current (A) ]]))</f>
        <v>0.84561291120511517</v>
      </c>
      <c r="T16" s="43">
        <f>Motors5[[#This Row],[Eff_Op_Point]]^2</f>
        <v>0.71506119559679004</v>
      </c>
      <c r="U16" s="42">
        <f>Motors5[[#This Row],[Eff_Op_Point]]*(1-Motors5[[#This Row],[Eff_Op_Point]])*4*Motors5[[#This Row],[Power]]</f>
        <v>25.438527700824753</v>
      </c>
      <c r="V16" s="42">
        <f>12*(Motors5[[#This Row],[Free Current (A) ]]+Motors5[[#This Row],[Stall Current (A) ]])/2</f>
        <v>93</v>
      </c>
      <c r="W16" s="44">
        <f>Motors5[[#This Row],[Torque]] / (Motors5[[#This Row],[Stall Current (A) ]]-Motors5[[#This Row],[Free Current (A) ]])</f>
        <v>8.279060770075862E-3</v>
      </c>
      <c r="X16" s="45">
        <f>Motors5[[#This Row],[Free Speed (rpm) ]] / Motors5[[#This Row],[Vtest]]</f>
        <v>1291.6666666666667</v>
      </c>
      <c r="Y16" s="32">
        <f>(1-Motors5[[#This Row],[Io/Is]]) *60 / (2*PI()* Motors5[[#This Row],[Kv_meas]])</f>
        <v>7.1465703478683328E-3</v>
      </c>
      <c r="Z16" s="45">
        <f>Motors5[[#This Row],[wo]]/Motors5[[#This Row],[Vtest]] / (1-Motors5[[#This Row],[Io/Is]])</f>
        <v>139.92725899609709</v>
      </c>
      <c r="AA16" s="51">
        <f>Motors5[[#This Row],[Ki]]*Motors5[[#This Row],[KV]] * (1-Motors5[[#This Row],[Io/Is]])^2</f>
        <v>1.0825223800004864</v>
      </c>
      <c r="AB16" s="76">
        <f t="shared" si="0"/>
        <v>0.85</v>
      </c>
      <c r="AC16" s="73">
        <f>Motors5[[#This Row],[Test Point]]*Motors5[[#This Row],[Free Current (A) ]]+(1-Motors5[[#This Row],[Test Point]]) * Motors5[[#This Row],[Stall Current (A) ]]</f>
        <v>2.6750000000000003</v>
      </c>
      <c r="AD16" s="42">
        <f>Motors5[[#This Row],[I@tp]]*Motors5[[#This Row],[Vtest]]</f>
        <v>32.1</v>
      </c>
      <c r="AE16" s="42">
        <f>Motors5[[#This Row],[Test Point]] * (1-Motors5[[#This Row],[Test Point]])*Motors5[[#This Row],[wo]]*Motors5[[#This Row],[Torque]]</f>
        <v>24.843888621011168</v>
      </c>
      <c r="AF16" s="42">
        <f>Motors5[[#This Row],[I@tp]]^2*Motors5[[#This Row],[Rm (ohms)]]</f>
        <v>5.7245000000000017</v>
      </c>
      <c r="AG16" s="42">
        <f>Motors5[[#This Row],[Pin @tpv]]-(SUM(Motors5[[#This Row],[PMech]:[Parmature]]))</f>
        <v>1.5316113789888313</v>
      </c>
      <c r="AH16" s="42">
        <f>Motors5[[#This Row],[Io/Is]]*Motors5[[#This Row],[Torque]] * Motors5[[#This Row],[wo]]*Motors5[[#This Row],[Test Point]]</f>
        <v>5.5208641380024819</v>
      </c>
      <c r="AI16" s="42">
        <f>Motors5[[#This Row],[P_in - Pout at TP]]-Motors5[[#This Row],[Pout_mechanical]]</f>
        <v>-3.9892527590136506</v>
      </c>
    </row>
    <row r="17" spans="1:35" ht="28">
      <c r="A17" s="21" t="s">
        <v>83</v>
      </c>
      <c r="B17" s="22" t="s">
        <v>91</v>
      </c>
      <c r="C17" s="22" t="str">
        <f>Motors5[[#This Row],[Make ]] &amp; CHAR(13) &amp; "  " &amp; Motors5[[#This Row],[Part Number ]]</f>
        <v xml:space="preserve">AndyMark _x000D_  am-0915 </v>
      </c>
      <c r="D17" s="23">
        <v>45</v>
      </c>
      <c r="E17" s="23">
        <v>1209</v>
      </c>
      <c r="F17" s="23">
        <v>198</v>
      </c>
      <c r="G17" s="23">
        <v>0.6</v>
      </c>
      <c r="H17" s="23">
        <v>22</v>
      </c>
      <c r="I17" s="36" t="s">
        <v>92</v>
      </c>
      <c r="J17" s="36"/>
      <c r="K17" s="24">
        <v>12</v>
      </c>
      <c r="L17" s="25">
        <f>Motors5[[#This Row],[Vtest]]/Motors5[[#This Row],[Stall Current (A) ]]</f>
        <v>0.54545454545454541</v>
      </c>
      <c r="M17" s="38">
        <f>Motors5[[#This Row],[Free Speed (rpm) ]]*2*PI()/60</f>
        <v>20.734511513692635</v>
      </c>
      <c r="N17" s="39">
        <f>Motors5[[#This Row],[Free Current (A) ]]/Motors5[[#This Row],[Stall Current (A) ]]</f>
        <v>2.7272727272727271E-2</v>
      </c>
      <c r="O17" s="40">
        <f>Motors5[[#This Row],[Stall Torque (oz-in) ]]*0.0070615518333</f>
        <v>8.5374161664596997</v>
      </c>
      <c r="P17" s="52">
        <f>Motors5[[#This Row],[wo]]/Motors5[[#This Row],[Torque]]</f>
        <v>2.4286635569144139</v>
      </c>
      <c r="Q17" s="42">
        <f>Motors5[[#This Row],[Torque]]*Motors5[[#This Row],[wo]]/4</f>
        <v>44.254788450161072</v>
      </c>
      <c r="R17" s="42" t="str">
        <f>IF(ISBLANK(Motors5[[#This Row],[Weight (Kg)]]),"-", Motors5[[#This Row],[Power]] / Motors5[[#This Row],[Weight (Kg)]] )</f>
        <v>-</v>
      </c>
      <c r="S17" s="43">
        <f>1/(1+SQRT(Motors5[[#This Row],[Free Current (A) ]]/Motors5[[#This Row],[Stall Current (A) ]]))</f>
        <v>0.85826259696649587</v>
      </c>
      <c r="T17" s="43">
        <f>Motors5[[#This Row],[Eff_Op_Point]]^2</f>
        <v>0.73661468535167374</v>
      </c>
      <c r="U17" s="42">
        <f>Motors5[[#This Row],[Eff_Op_Point]]*(1-Motors5[[#This Row],[Eff_Op_Point]])*4*Motors5[[#This Row],[Power]]</f>
        <v>21.534010375671386</v>
      </c>
      <c r="V17" s="42">
        <f>12*(Motors5[[#This Row],[Free Current (A) ]]+Motors5[[#This Row],[Stall Current (A) ]])/2</f>
        <v>135.60000000000002</v>
      </c>
      <c r="W17" s="44">
        <f>Motors5[[#This Row],[Torque]] / (Motors5[[#This Row],[Stall Current (A) ]]-Motors5[[#This Row],[Free Current (A) ]])</f>
        <v>0.39894468067568695</v>
      </c>
      <c r="X17" s="45">
        <f>Motors5[[#This Row],[Free Speed (rpm) ]] / Motors5[[#This Row],[Vtest]]</f>
        <v>16.5</v>
      </c>
      <c r="Y17" s="32">
        <f>(1-Motors5[[#This Row],[Io/Is]]) *60 / (2*PI()* Motors5[[#This Row],[Kv_meas]])</f>
        <v>0.56296128630852238</v>
      </c>
      <c r="Z17" s="45">
        <f>Motors5[[#This Row],[wo]]/Motors5[[#This Row],[Vtest]] / (1-Motors5[[#This Row],[Io/Is]])</f>
        <v>1.776321079833481</v>
      </c>
      <c r="AA17" s="46">
        <f>Motors5[[#This Row],[Ki]]*Motors5[[#This Row],[KV]] * (1-Motors5[[#This Row],[Io/Is]])^2</f>
        <v>0.6705270977297132</v>
      </c>
      <c r="AB17" s="72">
        <f t="shared" si="0"/>
        <v>0.85</v>
      </c>
      <c r="AC17" s="74">
        <f>Motors5[[#This Row],[Test Point]]*Motors5[[#This Row],[Free Current (A) ]]+(1-Motors5[[#This Row],[Test Point]]) * Motors5[[#This Row],[Stall Current (A) ]]</f>
        <v>3.8100000000000005</v>
      </c>
      <c r="AD17" s="75">
        <f>Motors5[[#This Row],[I@tp]]*Motors5[[#This Row],[Vtest]]</f>
        <v>45.720000000000006</v>
      </c>
      <c r="AE17" s="75">
        <f>Motors5[[#This Row],[Test Point]] * (1-Motors5[[#This Row],[Test Point]])*Motors5[[#This Row],[wo]]*Motors5[[#This Row],[Torque]]</f>
        <v>22.569942109582144</v>
      </c>
      <c r="AF17" s="75">
        <f>Motors5[[#This Row],[I@tp]]^2*Motors5[[#This Row],[Rm (ohms)]]</f>
        <v>7.9178727272727283</v>
      </c>
      <c r="AG17" s="75">
        <f>Motors5[[#This Row],[Pin @tpv]]-(SUM(Motors5[[#This Row],[PMech]:[Parmature]]))</f>
        <v>15.232185163145132</v>
      </c>
      <c r="AH17" s="75">
        <f>Motors5[[#This Row],[Io/Is]]*Motors5[[#This Row],[Torque]] * Motors5[[#This Row],[wo]]*Motors5[[#This Row],[Test Point]]</f>
        <v>4.1036258381058444</v>
      </c>
      <c r="AI17" s="75">
        <f>Motors5[[#This Row],[P_in - Pout at TP]]-Motors5[[#This Row],[Pout_mechanical]]</f>
        <v>11.128559325039287</v>
      </c>
    </row>
    <row r="18" spans="1:35" ht="42" hidden="1">
      <c r="A18" s="21" t="s">
        <v>101</v>
      </c>
      <c r="B18" s="22" t="s">
        <v>102</v>
      </c>
      <c r="C18" s="22" t="str">
        <f>Motors5[[#This Row],[Make ]] &amp; CHAR(13) &amp; "  " &amp; Motors5[[#This Row],[Part Number ]]</f>
        <v xml:space="preserve">Denso _x000D_  262100-3030 (Right) </v>
      </c>
      <c r="D18" s="23">
        <v>23</v>
      </c>
      <c r="E18" s="23">
        <v>1501</v>
      </c>
      <c r="F18" s="23">
        <v>84</v>
      </c>
      <c r="G18" s="23">
        <v>1.8</v>
      </c>
      <c r="H18" s="23">
        <v>19</v>
      </c>
      <c r="I18" s="36"/>
      <c r="J18" s="36"/>
      <c r="K18" s="24">
        <v>12</v>
      </c>
      <c r="L18" s="25">
        <f>Motors5[[#This Row],[Vtest]]/Motors5[[#This Row],[Stall Current (A) ]]</f>
        <v>0.63157894736842102</v>
      </c>
      <c r="M18" s="26">
        <f>Motors5[[#This Row],[Free Speed (rpm) ]]*2*PI()/60</f>
        <v>8.7964594300514207</v>
      </c>
      <c r="N18" s="27">
        <f>Motors5[[#This Row],[Free Current (A) ]]/Motors5[[#This Row],[Stall Current (A) ]]</f>
        <v>9.4736842105263161E-2</v>
      </c>
      <c r="O18" s="28">
        <f>Motors5[[#This Row],[Stall Torque (oz-in) ]]*0.0070615518333</f>
        <v>10.599389301783301</v>
      </c>
      <c r="P18" s="29">
        <f>Motors5[[#This Row],[wo]]/Motors5[[#This Row],[Torque]]</f>
        <v>0.82990247641639647</v>
      </c>
      <c r="Q18" s="26">
        <f>Motors5[[#This Row],[Torque]]*Motors5[[#This Row],[wo]]/4</f>
        <v>23.309274494114465</v>
      </c>
      <c r="R18" s="26" t="str">
        <f>IF(ISBLANK(Motors5[[#This Row],[Weight (Kg)]]),"-", Motors5[[#This Row],[Power]] / Motors5[[#This Row],[Weight (Kg)]] )</f>
        <v>-</v>
      </c>
      <c r="S18" s="30">
        <f>1/(1+SQRT(Motors5[[#This Row],[Free Current (A) ]]/Motors5[[#This Row],[Stall Current (A) ]]))</f>
        <v>0.76464670890201281</v>
      </c>
      <c r="T18" s="30">
        <f>Motors5[[#This Row],[Eff_Op_Point]]^2</f>
        <v>0.58468458943467949</v>
      </c>
      <c r="U18" s="31">
        <f>Motors5[[#This Row],[Eff_Op_Point]]*(1-Motors5[[#This Row],[Eff_Op_Point]])*4*Motors5[[#This Row],[Power]]</f>
        <v>16.779145764826769</v>
      </c>
      <c r="V18" s="26">
        <f>12*(Motors5[[#This Row],[Free Current (A) ]]+Motors5[[#This Row],[Stall Current (A) ]])/2</f>
        <v>124.80000000000001</v>
      </c>
      <c r="W18" s="32">
        <f>Motors5[[#This Row],[Torque]] / (Motors5[[#This Row],[Stall Current (A) ]]-Motors5[[#This Row],[Free Current (A) ]])</f>
        <v>0.61624356405716874</v>
      </c>
      <c r="X18" s="31">
        <f>Motors5[[#This Row],[Free Speed (rpm) ]] / Motors5[[#This Row],[Vtest]]</f>
        <v>7</v>
      </c>
      <c r="Y18" s="32">
        <f>(1-Motors5[[#This Row],[Io/Is]]) *60 / (2*PI()* Motors5[[#This Row],[Kv_meas]])</f>
        <v>1.2349466260965112</v>
      </c>
      <c r="Z18" s="31">
        <f>Motors5[[#This Row],[wo]]/Motors5[[#This Row],[Vtest]] / (1-Motors5[[#This Row],[Io/Is]])</f>
        <v>0.80975159482062498</v>
      </c>
      <c r="AA18" s="33">
        <f>Motors5[[#This Row],[Ki]]*Motors5[[#This Row],[KV]] * (1-Motors5[[#This Row],[Io/Is]])^2</f>
        <v>0.40893464024762233</v>
      </c>
      <c r="AB18" s="71">
        <f t="shared" si="0"/>
        <v>0.85</v>
      </c>
      <c r="AC18" s="34">
        <f>Motors5[[#This Row],[Test Point]]*Motors5[[#This Row],[Free Current (A) ]]+(1-Motors5[[#This Row],[Test Point]]) * Motors5[[#This Row],[Stall Current (A) ]]</f>
        <v>4.3800000000000008</v>
      </c>
      <c r="AD18" s="26">
        <f>Motors5[[#This Row],[I@tp]]*Motors5[[#This Row],[Vtest]]</f>
        <v>52.560000000000009</v>
      </c>
      <c r="AE18" s="26">
        <f>Motors5[[#This Row],[Test Point]] * (1-Motors5[[#This Row],[Test Point]])*Motors5[[#This Row],[wo]]*Motors5[[#This Row],[Torque]]</f>
        <v>11.887729991998377</v>
      </c>
      <c r="AF18" s="26">
        <f>Motors5[[#This Row],[I@tp]]^2*Motors5[[#This Row],[Rm (ohms)]]</f>
        <v>12.11646315789474</v>
      </c>
      <c r="AG18" s="26">
        <f>Motors5[[#This Row],[Pin @tpv]]-(SUM(Motors5[[#This Row],[PMech]:[Parmature]]))</f>
        <v>28.55580685010689</v>
      </c>
      <c r="AH18" s="26">
        <f>Motors5[[#This Row],[Io/Is]]*Motors5[[#This Row],[Torque]] * Motors5[[#This Row],[wo]]*Motors5[[#This Row],[Test Point]]</f>
        <v>7.5080399949463441</v>
      </c>
      <c r="AI18" s="26">
        <f>Motors5[[#This Row],[P_in - Pout at TP]]-Motors5[[#This Row],[Pout_mechanical]]</f>
        <v>21.047766855160546</v>
      </c>
    </row>
    <row r="19" spans="1:35" ht="42" hidden="1">
      <c r="A19" s="21" t="s">
        <v>101</v>
      </c>
      <c r="B19" s="22" t="s">
        <v>103</v>
      </c>
      <c r="C19" s="22" t="str">
        <f>Motors5[[#This Row],[Make ]] &amp; CHAR(13) &amp; "  " &amp; Motors5[[#This Row],[Part Number ]]</f>
        <v xml:space="preserve">Denso _x000D_  262100-3040 (Left) </v>
      </c>
      <c r="D19" s="23">
        <v>23</v>
      </c>
      <c r="E19" s="23">
        <v>1501</v>
      </c>
      <c r="F19" s="23">
        <v>84</v>
      </c>
      <c r="G19" s="23">
        <v>1.8</v>
      </c>
      <c r="H19" s="23">
        <v>21</v>
      </c>
      <c r="I19" s="36"/>
      <c r="J19" s="36"/>
      <c r="K19" s="24">
        <v>12</v>
      </c>
      <c r="L19" s="25">
        <f>Motors5[[#This Row],[Vtest]]/Motors5[[#This Row],[Stall Current (A) ]]</f>
        <v>0.5714285714285714</v>
      </c>
      <c r="M19" s="26">
        <f>Motors5[[#This Row],[Free Speed (rpm) ]]*2*PI()/60</f>
        <v>8.7964594300514207</v>
      </c>
      <c r="N19" s="27">
        <f>Motors5[[#This Row],[Free Current (A) ]]/Motors5[[#This Row],[Stall Current (A) ]]</f>
        <v>8.5714285714285715E-2</v>
      </c>
      <c r="O19" s="28">
        <f>Motors5[[#This Row],[Stall Torque (oz-in) ]]*0.0070615518333</f>
        <v>10.599389301783301</v>
      </c>
      <c r="P19" s="29">
        <f>Motors5[[#This Row],[wo]]/Motors5[[#This Row],[Torque]]</f>
        <v>0.82990247641639647</v>
      </c>
      <c r="Q19" s="26">
        <f>Motors5[[#This Row],[Torque]]*Motors5[[#This Row],[wo]]/4</f>
        <v>23.309274494114465</v>
      </c>
      <c r="R19" s="26" t="str">
        <f>IF(ISBLANK(Motors5[[#This Row],[Weight (Kg)]]),"-", Motors5[[#This Row],[Power]] / Motors5[[#This Row],[Weight (Kg)]] )</f>
        <v>-</v>
      </c>
      <c r="S19" s="30">
        <f>1/(1+SQRT(Motors5[[#This Row],[Free Current (A) ]]/Motors5[[#This Row],[Stall Current (A) ]]))</f>
        <v>0.77353278856376262</v>
      </c>
      <c r="T19" s="30">
        <f>Motors5[[#This Row],[Eff_Op_Point]]^2</f>
        <v>0.5983529749832307</v>
      </c>
      <c r="U19" s="31">
        <f>Motors5[[#This Row],[Eff_Op_Point]]*(1-Motors5[[#This Row],[Eff_Op_Point]])*4*Motors5[[#This Row],[Power]]</f>
        <v>16.33325744230568</v>
      </c>
      <c r="V19" s="26">
        <f>12*(Motors5[[#This Row],[Free Current (A) ]]+Motors5[[#This Row],[Stall Current (A) ]])/2</f>
        <v>136.80000000000001</v>
      </c>
      <c r="W19" s="32">
        <f>Motors5[[#This Row],[Torque]] / (Motors5[[#This Row],[Stall Current (A) ]]-Motors5[[#This Row],[Free Current (A) ]])</f>
        <v>0.552051526134547</v>
      </c>
      <c r="X19" s="31">
        <f>Motors5[[#This Row],[Free Speed (rpm) ]] / Motors5[[#This Row],[Vtest]]</f>
        <v>7</v>
      </c>
      <c r="Y19" s="32">
        <f>(1-Motors5[[#This Row],[Io/Is]]) *60 / (2*PI()* Motors5[[#This Row],[Kv_meas]])</f>
        <v>1.2472550642303635</v>
      </c>
      <c r="Z19" s="31">
        <f>Motors5[[#This Row],[wo]]/Motors5[[#This Row],[Vtest]] / (1-Motors5[[#This Row],[Io/Is]])</f>
        <v>0.80176062513489521</v>
      </c>
      <c r="AA19" s="33">
        <f>Motors5[[#This Row],[Ki]]*Motors5[[#This Row],[KV]] * (1-Motors5[[#This Row],[Io/Is]])^2</f>
        <v>0.36998848403356299</v>
      </c>
      <c r="AB19" s="71">
        <f t="shared" si="0"/>
        <v>0.85</v>
      </c>
      <c r="AC19" s="34">
        <f>Motors5[[#This Row],[Test Point]]*Motors5[[#This Row],[Free Current (A) ]]+(1-Motors5[[#This Row],[Test Point]]) * Motors5[[#This Row],[Stall Current (A) ]]</f>
        <v>4.6800000000000006</v>
      </c>
      <c r="AD19" s="26">
        <f>Motors5[[#This Row],[I@tp]]*Motors5[[#This Row],[Vtest]]</f>
        <v>56.160000000000011</v>
      </c>
      <c r="AE19" s="26">
        <f>Motors5[[#This Row],[Test Point]] * (1-Motors5[[#This Row],[Test Point]])*Motors5[[#This Row],[wo]]*Motors5[[#This Row],[Torque]]</f>
        <v>11.887729991998377</v>
      </c>
      <c r="AF19" s="26">
        <f>Motors5[[#This Row],[I@tp]]^2*Motors5[[#This Row],[Rm (ohms)]]</f>
        <v>12.515657142857146</v>
      </c>
      <c r="AG19" s="26">
        <f>Motors5[[#This Row],[Pin @tpv]]-(SUM(Motors5[[#This Row],[PMech]:[Parmature]]))</f>
        <v>31.75661286514449</v>
      </c>
      <c r="AH19" s="26">
        <f>Motors5[[#This Row],[Io/Is]]*Motors5[[#This Row],[Torque]] * Motors5[[#This Row],[wo]]*Motors5[[#This Row],[Test Point]]</f>
        <v>6.7929885668562155</v>
      </c>
      <c r="AI19" s="26">
        <f>Motors5[[#This Row],[P_in - Pout at TP]]-Motors5[[#This Row],[Pout_mechanical]]</f>
        <v>24.963624298288273</v>
      </c>
    </row>
    <row r="20" spans="1:35" ht="42" hidden="1">
      <c r="A20" s="21" t="s">
        <v>101</v>
      </c>
      <c r="B20" s="22" t="s">
        <v>104</v>
      </c>
      <c r="C20" s="22" t="str">
        <f>Motors5[[#This Row],[Make ]] &amp; CHAR(13) &amp; "  " &amp; Motors5[[#This Row],[Part Number ]]</f>
        <v xml:space="preserve">Denso _x000D_  AE235100‐0160 </v>
      </c>
      <c r="D20" s="23">
        <v>18</v>
      </c>
      <c r="E20" s="23">
        <v>18</v>
      </c>
      <c r="F20" s="23">
        <v>5300</v>
      </c>
      <c r="G20" s="23">
        <v>1</v>
      </c>
      <c r="H20" s="23">
        <v>7</v>
      </c>
      <c r="I20" s="36" t="s">
        <v>105</v>
      </c>
      <c r="J20" s="36"/>
      <c r="K20" s="24">
        <v>12</v>
      </c>
      <c r="L20" s="25">
        <f>Motors5[[#This Row],[Vtest]]/Motors5[[#This Row],[Stall Current (A) ]]</f>
        <v>1.7142857142857142</v>
      </c>
      <c r="M20" s="26">
        <f>Motors5[[#This Row],[Free Speed (rpm) ]]*2*PI()/60</f>
        <v>555.0147021341968</v>
      </c>
      <c r="N20" s="27">
        <f>Motors5[[#This Row],[Free Current (A) ]]/Motors5[[#This Row],[Stall Current (A) ]]</f>
        <v>0.14285714285714285</v>
      </c>
      <c r="O20" s="28">
        <f>Motors5[[#This Row],[Stall Torque (oz-in) ]]*0.0070615518333</f>
        <v>0.12710793299940001</v>
      </c>
      <c r="P20" s="29">
        <f>Motors5[[#This Row],[wo]]/Motors5[[#This Row],[Torque]]</f>
        <v>4366.4835784625384</v>
      </c>
      <c r="Q20" s="26">
        <f>Motors5[[#This Row],[Torque]]*Motors5[[#This Row],[wo]]/4</f>
        <v>17.636692893138861</v>
      </c>
      <c r="R20" s="26" t="str">
        <f>IF(ISBLANK(Motors5[[#This Row],[Weight (Kg)]]),"-", Motors5[[#This Row],[Power]] / Motors5[[#This Row],[Weight (Kg)]] )</f>
        <v>-</v>
      </c>
      <c r="S20" s="30">
        <f>1/(1+SQRT(Motors5[[#This Row],[Free Current (A) ]]/Motors5[[#This Row],[Stall Current (A) ]]))</f>
        <v>0.72570811482256814</v>
      </c>
      <c r="T20" s="30">
        <f>Motors5[[#This Row],[Eff_Op_Point]]^2</f>
        <v>0.52665226791932573</v>
      </c>
      <c r="U20" s="31">
        <f>Motors5[[#This Row],[Eff_Op_Point]]*(1-Motors5[[#This Row],[Eff_Op_Point]])*4*Motors5[[#This Row],[Power]]</f>
        <v>14.04274736166461</v>
      </c>
      <c r="V20" s="26">
        <f>12*(Motors5[[#This Row],[Free Current (A) ]]+Motors5[[#This Row],[Stall Current (A) ]])/2</f>
        <v>48</v>
      </c>
      <c r="W20" s="32">
        <f>Motors5[[#This Row],[Torque]] / (Motors5[[#This Row],[Stall Current (A) ]]-Motors5[[#This Row],[Free Current (A) ]])</f>
        <v>2.1184655499900003E-2</v>
      </c>
      <c r="X20" s="31">
        <f>Motors5[[#This Row],[Free Speed (rpm) ]] / Motors5[[#This Row],[Vtest]]</f>
        <v>441.66666666666669</v>
      </c>
      <c r="Y20" s="32">
        <f>(1-Motors5[[#This Row],[Io/Is]]) *60 / (2*PI()* Motors5[[#This Row],[Kv_meas]])</f>
        <v>1.8532327605309647E-2</v>
      </c>
      <c r="Z20" s="31">
        <f>Motors5[[#This Row],[wo]]/Motors5[[#This Row],[Vtest]] / (1-Motors5[[#This Row],[Io/Is]])</f>
        <v>53.95976270749135</v>
      </c>
      <c r="AA20" s="33">
        <f>Motors5[[#This Row],[Ki]]*Motors5[[#This Row],[KV]] * (1-Motors5[[#This Row],[Io/Is]])^2</f>
        <v>0.83984251872089821</v>
      </c>
      <c r="AB20" s="71">
        <f t="shared" si="0"/>
        <v>0.85</v>
      </c>
      <c r="AC20" s="34">
        <f>Motors5[[#This Row],[Test Point]]*Motors5[[#This Row],[Free Current (A) ]]+(1-Motors5[[#This Row],[Test Point]]) * Motors5[[#This Row],[Stall Current (A) ]]</f>
        <v>1.9000000000000004</v>
      </c>
      <c r="AD20" s="26">
        <f>Motors5[[#This Row],[I@tp]]*Motors5[[#This Row],[Vtest]]</f>
        <v>22.800000000000004</v>
      </c>
      <c r="AE20" s="26">
        <f>Motors5[[#This Row],[Test Point]] * (1-Motors5[[#This Row],[Test Point]])*Motors5[[#This Row],[wo]]*Motors5[[#This Row],[Torque]]</f>
        <v>8.9947133755008188</v>
      </c>
      <c r="AF20" s="26">
        <f>Motors5[[#This Row],[I@tp]]^2*Motors5[[#This Row],[Rm (ohms)]]</f>
        <v>6.1885714285714304</v>
      </c>
      <c r="AG20" s="26">
        <f>Motors5[[#This Row],[Pin @tpv]]-(SUM(Motors5[[#This Row],[PMech]:[Parmature]]))</f>
        <v>7.616715195927755</v>
      </c>
      <c r="AH20" s="26">
        <f>Motors5[[#This Row],[Io/Is]]*Motors5[[#This Row],[Torque]] * Motors5[[#This Row],[wo]]*Motors5[[#This Row],[Test Point]]</f>
        <v>8.5663936909531611</v>
      </c>
      <c r="AI20" s="26">
        <f>Motors5[[#This Row],[P_in - Pout at TP]]-Motors5[[#This Row],[Pout_mechanical]]</f>
        <v>-0.94967849502540602</v>
      </c>
    </row>
    <row r="21" spans="1:35" ht="42" hidden="1">
      <c r="A21" s="21" t="s">
        <v>106</v>
      </c>
      <c r="B21" s="22" t="s">
        <v>109</v>
      </c>
      <c r="C21" s="22" t="str">
        <f>Motors5[[#This Row],[Make ]] &amp; CHAR(13) &amp; "  " &amp; Motors5[[#This Row],[Part Number ]]</f>
        <v xml:space="preserve">VEX _x000D_  276‐2177 (standard) </v>
      </c>
      <c r="D21" s="23">
        <v>4</v>
      </c>
      <c r="E21" s="23">
        <v>215</v>
      </c>
      <c r="F21" s="23">
        <v>100</v>
      </c>
      <c r="G21" s="23">
        <v>0.2</v>
      </c>
      <c r="H21" s="23">
        <v>4</v>
      </c>
      <c r="I21" s="36" t="s">
        <v>108</v>
      </c>
      <c r="J21" s="36"/>
      <c r="K21" s="24">
        <v>7.2</v>
      </c>
      <c r="L21" s="25">
        <f>Motors5[[#This Row],[Vtest]]/Motors5[[#This Row],[Stall Current (A) ]]</f>
        <v>1.8</v>
      </c>
      <c r="M21" s="26">
        <f>Motors5[[#This Row],[Free Speed (rpm) ]]*2*PI()/60</f>
        <v>10.471975511965978</v>
      </c>
      <c r="N21" s="27">
        <f>Motors5[[#This Row],[Free Current (A) ]]/Motors5[[#This Row],[Stall Current (A) ]]</f>
        <v>0.05</v>
      </c>
      <c r="O21" s="28">
        <f>Motors5[[#This Row],[Stall Torque (oz-in) ]]*0.0070615518333</f>
        <v>1.5182336441595001</v>
      </c>
      <c r="P21" s="29">
        <f>Motors5[[#This Row],[wo]]/Motors5[[#This Row],[Torque]]</f>
        <v>6.8974729629070382</v>
      </c>
      <c r="Q21" s="26">
        <f>Motors5[[#This Row],[Torque]]*Motors5[[#This Row],[wo]]/4</f>
        <v>3.9747263857702881</v>
      </c>
      <c r="R21" s="26" t="str">
        <f>IF(ISBLANK(Motors5[[#This Row],[Weight (Kg)]]),"-", Motors5[[#This Row],[Power]] / Motors5[[#This Row],[Weight (Kg)]] )</f>
        <v>-</v>
      </c>
      <c r="S21" s="30">
        <f>1/(1+SQRT(Motors5[[#This Row],[Free Current (A) ]]/Motors5[[#This Row],[Stall Current (A) ]]))</f>
        <v>0.8172560023684432</v>
      </c>
      <c r="T21" s="30">
        <f>Motors5[[#This Row],[Eff_Op_Point]]^2</f>
        <v>0.66790737340724882</v>
      </c>
      <c r="U21" s="31">
        <f>Motors5[[#This Row],[Eff_Op_Point]]*(1-Motors5[[#This Row],[Eff_Op_Point]])*4*Motors5[[#This Row],[Power]]</f>
        <v>2.3744797448427035</v>
      </c>
      <c r="V21" s="26">
        <f>12*(Motors5[[#This Row],[Free Current (A) ]]+Motors5[[#This Row],[Stall Current (A) ]])/2</f>
        <v>25.200000000000003</v>
      </c>
      <c r="W21" s="32">
        <f>Motors5[[#This Row],[Torque]] / (Motors5[[#This Row],[Stall Current (A) ]]-Motors5[[#This Row],[Free Current (A) ]])</f>
        <v>0.39953516951565793</v>
      </c>
      <c r="X21" s="31">
        <f>Motors5[[#This Row],[Free Speed (rpm) ]] / Motors5[[#This Row],[Vtest]]</f>
        <v>13.888888888888889</v>
      </c>
      <c r="Y21" s="32">
        <f>(1-Motors5[[#This Row],[Io/Is]]) *60 / (2*PI()* Motors5[[#This Row],[Kv_meas]])</f>
        <v>0.65317188644913848</v>
      </c>
      <c r="Z21" s="31">
        <f>Motors5[[#This Row],[wo]]/Motors5[[#This Row],[Vtest]] / (1-Motors5[[#This Row],[Io/Is]])</f>
        <v>1.5309905719248504</v>
      </c>
      <c r="AA21" s="33">
        <f>Motors5[[#This Row],[Ki]]*Motors5[[#This Row],[KV]] * (1-Motors5[[#This Row],[Io/Is]])^2</f>
        <v>0.55204533135698453</v>
      </c>
      <c r="AB21" s="71">
        <f t="shared" si="0"/>
        <v>0.85</v>
      </c>
      <c r="AC21" s="34">
        <f>Motors5[[#This Row],[Test Point]]*Motors5[[#This Row],[Free Current (A) ]]+(1-Motors5[[#This Row],[Test Point]]) * Motors5[[#This Row],[Stall Current (A) ]]</f>
        <v>0.77000000000000013</v>
      </c>
      <c r="AD21" s="26">
        <f>Motors5[[#This Row],[I@tp]]*Motors5[[#This Row],[Vtest]]</f>
        <v>5.5440000000000014</v>
      </c>
      <c r="AE21" s="26">
        <f>Motors5[[#This Row],[Test Point]] * (1-Motors5[[#This Row],[Test Point]])*Motors5[[#This Row],[wo]]*Motors5[[#This Row],[Torque]]</f>
        <v>2.0271104567428471</v>
      </c>
      <c r="AF21" s="26">
        <f>Motors5[[#This Row],[I@tp]]^2*Motors5[[#This Row],[Rm (ohms)]]</f>
        <v>1.0672200000000005</v>
      </c>
      <c r="AG21" s="26">
        <f>Motors5[[#This Row],[Pin @tpv]]-(SUM(Motors5[[#This Row],[PMech]:[Parmature]]))</f>
        <v>2.449669543257154</v>
      </c>
      <c r="AH21" s="26">
        <f>Motors5[[#This Row],[Io/Is]]*Motors5[[#This Row],[Torque]] * Motors5[[#This Row],[wo]]*Motors5[[#This Row],[Test Point]]</f>
        <v>0.67570348558094906</v>
      </c>
      <c r="AI21" s="26">
        <f>Motors5[[#This Row],[P_in - Pout at TP]]-Motors5[[#This Row],[Pout_mechanical]]</f>
        <v>1.7739660576762049</v>
      </c>
    </row>
    <row r="22" spans="1:35" ht="25" hidden="1" customHeight="1">
      <c r="A22" s="21" t="s">
        <v>106</v>
      </c>
      <c r="B22" s="22" t="s">
        <v>107</v>
      </c>
      <c r="C22" s="22" t="str">
        <f>Motors5[[#This Row],[Make ]] &amp; CHAR(13) &amp; "  " &amp; Motors5[[#This Row],[Part Number ]]</f>
        <v xml:space="preserve">VEX _x000D_  276‐2177 (high speed) </v>
      </c>
      <c r="D22" s="23">
        <v>4</v>
      </c>
      <c r="E22" s="23">
        <v>134</v>
      </c>
      <c r="F22" s="23">
        <v>160</v>
      </c>
      <c r="G22" s="23">
        <v>0.2</v>
      </c>
      <c r="H22" s="23">
        <v>4</v>
      </c>
      <c r="I22" s="36" t="s">
        <v>108</v>
      </c>
      <c r="J22" s="36"/>
      <c r="K22" s="24">
        <v>7.2</v>
      </c>
      <c r="L22" s="25">
        <f>Motors5[[#This Row],[Vtest]]/Motors5[[#This Row],[Stall Current (A) ]]</f>
        <v>1.8</v>
      </c>
      <c r="M22" s="26">
        <f>Motors5[[#This Row],[Free Speed (rpm) ]]*2*PI()/60</f>
        <v>16.755160819145562</v>
      </c>
      <c r="N22" s="27">
        <f>Motors5[[#This Row],[Free Current (A) ]]/Motors5[[#This Row],[Stall Current (A) ]]</f>
        <v>0.05</v>
      </c>
      <c r="O22" s="28">
        <f>Motors5[[#This Row],[Stall Torque (oz-in) ]]*0.0070615518333</f>
        <v>0.94624794566220005</v>
      </c>
      <c r="P22" s="29">
        <f>Motors5[[#This Row],[wo]]/Motors5[[#This Row],[Torque]]</f>
        <v>17.706945516716576</v>
      </c>
      <c r="Q22" s="26">
        <f>Motors5[[#This Row],[Torque]]*Motors5[[#This Row],[wo]]/4</f>
        <v>3.9636341260890684</v>
      </c>
      <c r="R22" s="26" t="str">
        <f>IF(ISBLANK(Motors5[[#This Row],[Weight (Kg)]]),"-", Motors5[[#This Row],[Power]] / Motors5[[#This Row],[Weight (Kg)]] )</f>
        <v>-</v>
      </c>
      <c r="S22" s="30">
        <f>1/(1+SQRT(Motors5[[#This Row],[Free Current (A) ]]/Motors5[[#This Row],[Stall Current (A) ]]))</f>
        <v>0.8172560023684432</v>
      </c>
      <c r="T22" s="30">
        <f>Motors5[[#This Row],[Eff_Op_Point]]^2</f>
        <v>0.66790737340724882</v>
      </c>
      <c r="U22" s="31">
        <f>Motors5[[#This Row],[Eff_Op_Point]]*(1-Motors5[[#This Row],[Eff_Op_Point]])*4*Motors5[[#This Row],[Power]]</f>
        <v>2.3678532897408164</v>
      </c>
      <c r="V22" s="26">
        <f>12*(Motors5[[#This Row],[Free Current (A) ]]+Motors5[[#This Row],[Stall Current (A) ]])/2</f>
        <v>25.200000000000003</v>
      </c>
      <c r="W22" s="32">
        <f>Motors5[[#This Row],[Torque]] / (Motors5[[#This Row],[Stall Current (A) ]]-Motors5[[#This Row],[Free Current (A) ]])</f>
        <v>0.24901261727952634</v>
      </c>
      <c r="X22" s="31">
        <f>Motors5[[#This Row],[Free Speed (rpm) ]] / Motors5[[#This Row],[Vtest]]</f>
        <v>22.222222222222221</v>
      </c>
      <c r="Y22" s="32">
        <f>(1-Motors5[[#This Row],[Io/Is]]) *60 / (2*PI()* Motors5[[#This Row],[Kv_meas]])</f>
        <v>0.40823242903071161</v>
      </c>
      <c r="Z22" s="31">
        <f>Motors5[[#This Row],[wo]]/Motors5[[#This Row],[Vtest]] / (1-Motors5[[#This Row],[Io/Is]])</f>
        <v>2.4495849150797606</v>
      </c>
      <c r="AA22" s="33">
        <f>Motors5[[#This Row],[Ki]]*Motors5[[#This Row],[KV]] * (1-Motors5[[#This Row],[Io/Is]])^2</f>
        <v>0.5505047397345928</v>
      </c>
      <c r="AB22" s="71">
        <f t="shared" si="0"/>
        <v>0.85</v>
      </c>
      <c r="AC22" s="34">
        <f>Motors5[[#This Row],[Test Point]]*Motors5[[#This Row],[Free Current (A) ]]+(1-Motors5[[#This Row],[Test Point]]) * Motors5[[#This Row],[Stall Current (A) ]]</f>
        <v>0.77000000000000013</v>
      </c>
      <c r="AD22" s="26">
        <f>Motors5[[#This Row],[I@tp]]*Motors5[[#This Row],[Vtest]]</f>
        <v>5.5440000000000014</v>
      </c>
      <c r="AE22" s="26">
        <f>Motors5[[#This Row],[Test Point]] * (1-Motors5[[#This Row],[Test Point]])*Motors5[[#This Row],[wo]]*Motors5[[#This Row],[Torque]]</f>
        <v>2.0214534043054249</v>
      </c>
      <c r="AF22" s="26">
        <f>Motors5[[#This Row],[I@tp]]^2*Motors5[[#This Row],[Rm (ohms)]]</f>
        <v>1.0672200000000005</v>
      </c>
      <c r="AG22" s="26">
        <f>Motors5[[#This Row],[Pin @tpv]]-(SUM(Motors5[[#This Row],[PMech]:[Parmature]]))</f>
        <v>2.4553265956945758</v>
      </c>
      <c r="AH22" s="26">
        <f>Motors5[[#This Row],[Io/Is]]*Motors5[[#This Row],[Torque]] * Motors5[[#This Row],[wo]]*Motors5[[#This Row],[Test Point]]</f>
        <v>0.67381780143514158</v>
      </c>
      <c r="AI22" s="26">
        <f>Motors5[[#This Row],[P_in - Pout at TP]]-Motors5[[#This Row],[Pout_mechanical]]</f>
        <v>1.7815087942594343</v>
      </c>
    </row>
    <row r="23" spans="1:35" ht="24" hidden="1" customHeight="1">
      <c r="A23" s="21" t="s">
        <v>78</v>
      </c>
      <c r="B23" s="22" t="s">
        <v>95</v>
      </c>
      <c r="C23" s="22" t="str">
        <f>Motors5[[#This Row],[Make ]] &amp; CHAR(13) &amp; "  " &amp; Motors5[[#This Row],[Part Number ]]</f>
        <v xml:space="preserve">BaneBots _x000D_  M3-RS390-12 </v>
      </c>
      <c r="D23" s="23">
        <v>43</v>
      </c>
      <c r="E23" s="23">
        <v>19</v>
      </c>
      <c r="F23" s="23">
        <v>12180</v>
      </c>
      <c r="G23" s="23">
        <v>0.3</v>
      </c>
      <c r="H23" s="23">
        <v>15</v>
      </c>
      <c r="I23" s="36"/>
      <c r="J23" s="36">
        <v>9.0999999999999998E-2</v>
      </c>
      <c r="K23" s="24">
        <v>12</v>
      </c>
      <c r="L23" s="25">
        <f>Motors5[[#This Row],[Vtest]]/Motors5[[#This Row],[Stall Current (A) ]]</f>
        <v>0.8</v>
      </c>
      <c r="M23" s="38">
        <f>Motors5[[#This Row],[Free Speed (rpm) ]]*2*PI()/60</f>
        <v>1275.486617357456</v>
      </c>
      <c r="N23" s="39">
        <f>Motors5[[#This Row],[Free Current (A) ]]/Motors5[[#This Row],[Stall Current (A) ]]</f>
        <v>0.02</v>
      </c>
      <c r="O23" s="40">
        <f>Motors5[[#This Row],[Stall Torque (oz-in) ]]*0.0070615518333</f>
        <v>0.1341694848327</v>
      </c>
      <c r="P23" s="41">
        <f>Motors5[[#This Row],[wo]]/Motors5[[#This Row],[Torque]]</f>
        <v>9506.5328673498225</v>
      </c>
      <c r="Q23" s="42">
        <f>Motors5[[#This Row],[Torque]]*Motors5[[#This Row],[wo]]/4</f>
        <v>42.782845590463253</v>
      </c>
      <c r="R23" s="42">
        <f>IF(ISBLANK(Motors5[[#This Row],[Weight (Kg)]]),"-", Motors5[[#This Row],[Power]] / Motors5[[#This Row],[Weight (Kg)]] )</f>
        <v>470.14116033476103</v>
      </c>
      <c r="S23" s="43">
        <f>1/(1+SQRT(Motors5[[#This Row],[Free Current (A) ]]/Motors5[[#This Row],[Stall Current (A) ]]))</f>
        <v>0.8761006569007046</v>
      </c>
      <c r="T23" s="43">
        <f>Motors5[[#This Row],[Eff_Op_Point]]^2</f>
        <v>0.7675523610218461</v>
      </c>
      <c r="U23" s="42">
        <f>Motors5[[#This Row],[Eff_Op_Point]]*(1-Motors5[[#This Row],[Eff_Op_Point]])*4*Motors5[[#This Row],[Power]]</f>
        <v>18.576019926772485</v>
      </c>
      <c r="V23" s="42">
        <f>12*(Motors5[[#This Row],[Free Current (A) ]]+Motors5[[#This Row],[Stall Current (A) ]])/2</f>
        <v>91.800000000000011</v>
      </c>
      <c r="W23" s="44">
        <f>Motors5[[#This Row],[Torque]] / (Motors5[[#This Row],[Stall Current (A) ]]-Motors5[[#This Row],[Free Current (A) ]])</f>
        <v>9.1271758389591846E-3</v>
      </c>
      <c r="X23" s="45">
        <f>Motors5[[#This Row],[Free Speed (rpm) ]] / Motors5[[#This Row],[Vtest]]</f>
        <v>1015</v>
      </c>
      <c r="Y23" s="32">
        <f>(1-Motors5[[#This Row],[Io/Is]]) *60 / (2*PI()* Motors5[[#This Row],[Kv_meas]])</f>
        <v>9.2200104963580734E-3</v>
      </c>
      <c r="Z23" s="45">
        <f>Motors5[[#This Row],[wo]]/Motors5[[#This Row],[Vtest]] / (1-Motors5[[#This Row],[Io/Is]])</f>
        <v>108.45974637393334</v>
      </c>
      <c r="AA23" s="46">
        <f>Motors5[[#This Row],[Ki]]*Motors5[[#This Row],[KV]] * (1-Motors5[[#This Row],[Io/Is]])^2</f>
        <v>0.95072990201029473</v>
      </c>
      <c r="AB23" s="72">
        <f t="shared" si="0"/>
        <v>0.85</v>
      </c>
      <c r="AC23" s="73">
        <f>Motors5[[#This Row],[Test Point]]*Motors5[[#This Row],[Free Current (A) ]]+(1-Motors5[[#This Row],[Test Point]]) * Motors5[[#This Row],[Stall Current (A) ]]</f>
        <v>2.5050000000000003</v>
      </c>
      <c r="AD23" s="42">
        <f>Motors5[[#This Row],[I@tp]]*Motors5[[#This Row],[Vtest]]</f>
        <v>30.060000000000002</v>
      </c>
      <c r="AE23" s="42">
        <f>Motors5[[#This Row],[Test Point]] * (1-Motors5[[#This Row],[Test Point]])*Motors5[[#This Row],[wo]]*Motors5[[#This Row],[Torque]]</f>
        <v>21.819251251136258</v>
      </c>
      <c r="AF23" s="42">
        <f>Motors5[[#This Row],[I@tp]]^2*Motors5[[#This Row],[Rm (ohms)]]</f>
        <v>5.0200200000000024</v>
      </c>
      <c r="AG23" s="42">
        <f>Motors5[[#This Row],[Pin @tpv]]-(SUM(Motors5[[#This Row],[PMech]:[Parmature]]))</f>
        <v>3.2207287488637419</v>
      </c>
      <c r="AH23" s="42">
        <f>Motors5[[#This Row],[Io/Is]]*Motors5[[#This Row],[Torque]] * Motors5[[#This Row],[wo]]*Motors5[[#This Row],[Test Point]]</f>
        <v>2.9092335001515015</v>
      </c>
      <c r="AI23" s="42">
        <f>Motors5[[#This Row],[P_in - Pout at TP]]-Motors5[[#This Row],[Pout_mechanical]]</f>
        <v>0.31149524871224044</v>
      </c>
    </row>
    <row r="24" spans="1:35" ht="24" hidden="1" customHeight="1">
      <c r="A24" s="21" t="s">
        <v>78</v>
      </c>
      <c r="B24" s="22" t="s">
        <v>96</v>
      </c>
      <c r="C24" s="22" t="str">
        <f>Motors5[[#This Row],[Make ]] &amp; CHAR(13) &amp; "  " &amp; Motors5[[#This Row],[Part Number ]]</f>
        <v xml:space="preserve">BaneBots _x000D_  M5-RS555-12 </v>
      </c>
      <c r="D24" s="23">
        <v>42</v>
      </c>
      <c r="E24" s="23">
        <v>29</v>
      </c>
      <c r="F24" s="23">
        <v>7750</v>
      </c>
      <c r="G24" s="23">
        <v>0.4</v>
      </c>
      <c r="H24" s="23">
        <v>15</v>
      </c>
      <c r="I24" s="36"/>
      <c r="J24" s="36">
        <v>0.21299999999999999</v>
      </c>
      <c r="K24" s="24">
        <v>12</v>
      </c>
      <c r="L24" s="25">
        <f>Motors5[[#This Row],[Vtest]]/Motors5[[#This Row],[Stall Current (A) ]]</f>
        <v>0.8</v>
      </c>
      <c r="M24" s="26">
        <f>Motors5[[#This Row],[Free Speed (rpm) ]]*2*PI()/60</f>
        <v>811.57810217736323</v>
      </c>
      <c r="N24" s="27">
        <f>Motors5[[#This Row],[Free Current (A) ]]/Motors5[[#This Row],[Stall Current (A) ]]</f>
        <v>2.6666666666666668E-2</v>
      </c>
      <c r="O24" s="28">
        <f>Motors5[[#This Row],[Stall Torque (oz-in) ]]*0.0070615518333</f>
        <v>0.2047850031657</v>
      </c>
      <c r="P24" s="29">
        <f>Motors5[[#This Row],[wo]]/Motors5[[#This Row],[Torque]]</f>
        <v>3963.0739049806389</v>
      </c>
      <c r="Q24" s="26">
        <f>Motors5[[#This Row],[Torque]]*Motors5[[#This Row],[wo]]/4</f>
        <v>41.549756055901035</v>
      </c>
      <c r="R24" s="26">
        <f>IF(ISBLANK(Motors5[[#This Row],[Weight (Kg)]]),"-", Motors5[[#This Row],[Power]] / Motors5[[#This Row],[Weight (Kg)]] )</f>
        <v>195.06927725775134</v>
      </c>
      <c r="S24" s="30">
        <f>1/(1+SQRT(Motors5[[#This Row],[Free Current (A) ]]/Motors5[[#This Row],[Stall Current (A) ]]))</f>
        <v>0.85962399022033031</v>
      </c>
      <c r="T24" s="30">
        <f>Motors5[[#This Row],[Eff_Op_Point]]^2</f>
        <v>0.7389534045623225</v>
      </c>
      <c r="U24" s="31">
        <f>Motors5[[#This Row],[Eff_Op_Point]]*(1-Motors5[[#This Row],[Eff_Op_Point]])*4*Motors5[[#This Row],[Power]]</f>
        <v>20.055333588851731</v>
      </c>
      <c r="V24" s="26">
        <f>12*(Motors5[[#This Row],[Free Current (A) ]]+Motors5[[#This Row],[Stall Current (A) ]])/2</f>
        <v>92.4</v>
      </c>
      <c r="W24" s="32">
        <f>Motors5[[#This Row],[Torque]] / (Motors5[[#This Row],[Stall Current (A) ]]-Motors5[[#This Row],[Free Current (A) ]])</f>
        <v>1.4026370079842466E-2</v>
      </c>
      <c r="X24" s="31">
        <f>Motors5[[#This Row],[Free Speed (rpm) ]] / Motors5[[#This Row],[Vtest]]</f>
        <v>645.83333333333337</v>
      </c>
      <c r="Y24" s="32">
        <f>(1-Motors5[[#This Row],[Io/Is]]) *60 / (2*PI()* Motors5[[#This Row],[Kv_meas]])</f>
        <v>1.4391714079845195E-2</v>
      </c>
      <c r="Z24" s="31">
        <f>Motors5[[#This Row],[wo]]/Motors5[[#This Row],[Vtest]] / (1-Motors5[[#This Row],[Io/Is]])</f>
        <v>69.484426556281093</v>
      </c>
      <c r="AA24" s="33">
        <f>Motors5[[#This Row],[Ki]]*Motors5[[#This Row],[KV]] * (1-Motors5[[#This Row],[Io/Is]])^2</f>
        <v>0.92332791235335632</v>
      </c>
      <c r="AB24" s="77">
        <f t="shared" si="0"/>
        <v>0.85</v>
      </c>
      <c r="AC24" s="34">
        <f>Motors5[[#This Row],[Test Point]]*Motors5[[#This Row],[Free Current (A) ]]+(1-Motors5[[#This Row],[Test Point]]) * Motors5[[#This Row],[Stall Current (A) ]]</f>
        <v>2.5900000000000003</v>
      </c>
      <c r="AD24" s="26">
        <f>Motors5[[#This Row],[I@tp]]*Motors5[[#This Row],[Vtest]]</f>
        <v>31.080000000000005</v>
      </c>
      <c r="AE24" s="26">
        <f>Motors5[[#This Row],[Test Point]] * (1-Motors5[[#This Row],[Test Point]])*Motors5[[#This Row],[wo]]*Motors5[[#This Row],[Torque]]</f>
        <v>21.190375588509525</v>
      </c>
      <c r="AF24" s="26">
        <f>Motors5[[#This Row],[I@tp]]^2*Motors5[[#This Row],[Rm (ohms)]]</f>
        <v>5.3664800000000019</v>
      </c>
      <c r="AG24" s="26">
        <f>Motors5[[#This Row],[Pin @tpv]]-(SUM(Motors5[[#This Row],[PMech]:[Parmature]]))</f>
        <v>4.5231444114904775</v>
      </c>
      <c r="AH24" s="26">
        <f>Motors5[[#This Row],[Io/Is]]*Motors5[[#This Row],[Torque]] * Motors5[[#This Row],[wo]]*Motors5[[#This Row],[Test Point]]</f>
        <v>3.7671778824016942</v>
      </c>
      <c r="AI24" s="26">
        <f>Motors5[[#This Row],[P_in - Pout at TP]]-Motors5[[#This Row],[Pout_mechanical]]</f>
        <v>0.75596652908878337</v>
      </c>
    </row>
    <row r="25" spans="1:35">
      <c r="AB25" s="104">
        <v>0.85</v>
      </c>
    </row>
  </sheetData>
  <pageMargins left="0.75" right="0.75" top="1" bottom="1" header="0.5" footer="0.5"/>
  <pageSetup scale="82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1"/>
  <sheetViews>
    <sheetView workbookViewId="0">
      <selection activeCell="G31" sqref="G31"/>
    </sheetView>
  </sheetViews>
  <sheetFormatPr baseColWidth="10" defaultRowHeight="12" x14ac:dyDescent="0"/>
  <cols>
    <col min="1" max="1" width="4.83203125" customWidth="1"/>
  </cols>
  <sheetData>
    <row r="4" spans="1:4">
      <c r="A4" t="s">
        <v>168</v>
      </c>
    </row>
    <row r="5" spans="1:4" s="59" customFormat="1" ht="24">
      <c r="B5" s="59" t="s">
        <v>169</v>
      </c>
      <c r="C5" s="59" t="s">
        <v>170</v>
      </c>
      <c r="D5" s="59" t="s">
        <v>171</v>
      </c>
    </row>
    <row r="6" spans="1:4">
      <c r="B6" s="57">
        <v>0</v>
      </c>
      <c r="C6" s="57">
        <f t="shared" ref="C6:C11" si="0">(1+SQRT(B6))^-1</f>
        <v>1</v>
      </c>
      <c r="D6" s="57">
        <f t="shared" ref="D6:D11" si="1">C6^2</f>
        <v>1</v>
      </c>
    </row>
    <row r="7" spans="1:4">
      <c r="B7" s="57">
        <v>1E-3</v>
      </c>
      <c r="C7" s="57">
        <f t="shared" si="0"/>
        <v>0.96934656996828439</v>
      </c>
      <c r="D7" s="57">
        <f t="shared" si="1"/>
        <v>0.93963277270927803</v>
      </c>
    </row>
    <row r="8" spans="1:4">
      <c r="B8" s="57">
        <v>2E-3</v>
      </c>
      <c r="C8" s="57">
        <f t="shared" si="0"/>
        <v>0.95719302650301019</v>
      </c>
      <c r="D8" s="57">
        <f t="shared" si="1"/>
        <v>0.91621848998599242</v>
      </c>
    </row>
    <row r="9" spans="1:4">
      <c r="B9" s="57">
        <v>3.0000000000000001E-3</v>
      </c>
      <c r="C9" s="57">
        <f t="shared" si="0"/>
        <v>0.94807196012987305</v>
      </c>
      <c r="D9" s="57">
        <f t="shared" si="1"/>
        <v>0.89884044158449961</v>
      </c>
    </row>
    <row r="10" spans="1:4">
      <c r="B10" s="57">
        <v>4.0000000000000001E-3</v>
      </c>
      <c r="C10" s="57">
        <f t="shared" si="0"/>
        <v>0.94051651284802451</v>
      </c>
      <c r="D10" s="57">
        <f t="shared" si="1"/>
        <v>0.88457131093980823</v>
      </c>
    </row>
    <row r="11" spans="1:4">
      <c r="B11" s="57">
        <v>5.0000000000000001E-3</v>
      </c>
      <c r="C11" s="57">
        <f t="shared" si="0"/>
        <v>0.93395911746868865</v>
      </c>
      <c r="D11" s="57">
        <f t="shared" si="1"/>
        <v>0.8722796331028918</v>
      </c>
    </row>
    <row r="12" spans="1:4">
      <c r="B12" s="57">
        <v>0.01</v>
      </c>
      <c r="C12" s="57">
        <f t="shared" ref="C12:C30" si="2">(1+SQRT(B12))^-1</f>
        <v>0.90909090909090906</v>
      </c>
      <c r="D12" s="57">
        <f t="shared" ref="D12:D30" si="3">C12^2</f>
        <v>0.82644628099173545</v>
      </c>
    </row>
    <row r="13" spans="1:4">
      <c r="B13" s="57">
        <v>1.4999999999999999E-2</v>
      </c>
      <c r="C13" s="57">
        <f t="shared" si="2"/>
        <v>0.89088884554400105</v>
      </c>
      <c r="D13" s="57">
        <f t="shared" si="3"/>
        <v>0.79368293511472299</v>
      </c>
    </row>
    <row r="14" spans="1:4">
      <c r="B14" s="57">
        <v>0.02</v>
      </c>
      <c r="C14" s="57">
        <f t="shared" si="2"/>
        <v>0.8761006569007046</v>
      </c>
      <c r="D14" s="57">
        <f t="shared" si="3"/>
        <v>0.7675523610218461</v>
      </c>
    </row>
    <row r="15" spans="1:4">
      <c r="B15" s="57">
        <v>2.5000000000000001E-2</v>
      </c>
      <c r="C15" s="57">
        <f t="shared" si="2"/>
        <v>0.86347294050418566</v>
      </c>
      <c r="D15" s="57">
        <f t="shared" si="3"/>
        <v>0.74558551898294489</v>
      </c>
    </row>
    <row r="16" spans="1:4">
      <c r="B16" s="57">
        <v>0.03</v>
      </c>
      <c r="C16" s="57">
        <f t="shared" si="2"/>
        <v>0.85236589612691993</v>
      </c>
      <c r="D16" s="57">
        <f t="shared" si="3"/>
        <v>0.72652762088024725</v>
      </c>
    </row>
    <row r="17" spans="2:4">
      <c r="B17" s="57">
        <v>3.5000000000000003E-2</v>
      </c>
      <c r="C17" s="57">
        <f t="shared" si="2"/>
        <v>0.84240117166974404</v>
      </c>
      <c r="D17" s="57">
        <f t="shared" si="3"/>
        <v>0.70963973403055758</v>
      </c>
    </row>
    <row r="18" spans="2:4">
      <c r="B18" s="57">
        <v>0.04</v>
      </c>
      <c r="C18" s="57">
        <f t="shared" si="2"/>
        <v>0.83333333333333337</v>
      </c>
      <c r="D18" s="57">
        <f t="shared" si="3"/>
        <v>0.69444444444444453</v>
      </c>
    </row>
    <row r="19" spans="2:4">
      <c r="B19" s="57">
        <v>4.4999999999999998E-2</v>
      </c>
      <c r="C19" s="57">
        <f t="shared" si="2"/>
        <v>0.82499263418223634</v>
      </c>
      <c r="D19" s="57">
        <f t="shared" si="3"/>
        <v>0.68061284645494524</v>
      </c>
    </row>
    <row r="20" spans="2:4">
      <c r="B20" s="57">
        <v>0.05</v>
      </c>
      <c r="C20" s="57">
        <f t="shared" si="2"/>
        <v>0.8172560023684432</v>
      </c>
      <c r="D20" s="57">
        <f t="shared" si="3"/>
        <v>0.66790737340724882</v>
      </c>
    </row>
    <row r="21" spans="2:4">
      <c r="B21" s="57">
        <v>5.5E-2</v>
      </c>
      <c r="C21" s="57">
        <f t="shared" si="2"/>
        <v>0.81003091217865453</v>
      </c>
      <c r="D21" s="57">
        <f t="shared" si="3"/>
        <v>0.6561500786849831</v>
      </c>
    </row>
    <row r="22" spans="2:4">
      <c r="B22" s="57">
        <v>0.06</v>
      </c>
      <c r="C22" s="57">
        <f t="shared" si="2"/>
        <v>0.80324577204434278</v>
      </c>
      <c r="D22" s="57">
        <f t="shared" si="3"/>
        <v>0.64520377030711229</v>
      </c>
    </row>
    <row r="23" spans="2:4">
      <c r="B23" s="57">
        <v>6.5000000000000002E-2</v>
      </c>
      <c r="C23" s="57">
        <f t="shared" si="2"/>
        <v>0.79684387627846065</v>
      </c>
      <c r="D23" s="57">
        <f t="shared" si="3"/>
        <v>0.63496016316248272</v>
      </c>
    </row>
    <row r="24" spans="2:4">
      <c r="B24" s="57">
        <v>7.0000000000000007E-2</v>
      </c>
      <c r="C24" s="57">
        <f t="shared" si="2"/>
        <v>0.79077942891778596</v>
      </c>
      <c r="D24" s="57">
        <f t="shared" si="3"/>
        <v>0.62533210519953975</v>
      </c>
    </row>
    <row r="25" spans="2:4">
      <c r="B25" s="57">
        <v>7.4999999999999997E-2</v>
      </c>
      <c r="C25" s="57">
        <f t="shared" si="2"/>
        <v>0.78501483378099135</v>
      </c>
      <c r="D25" s="57">
        <f t="shared" si="3"/>
        <v>0.61624828925619746</v>
      </c>
    </row>
    <row r="26" spans="2:4">
      <c r="B26" s="57">
        <v>0.08</v>
      </c>
      <c r="C26" s="57">
        <f t="shared" si="2"/>
        <v>0.77951879078845765</v>
      </c>
      <c r="D26" s="57">
        <f t="shared" si="3"/>
        <v>0.60764954519229919</v>
      </c>
    </row>
    <row r="27" spans="2:4">
      <c r="B27" s="57">
        <v>8.5000000000000006E-2</v>
      </c>
      <c r="C27" s="57">
        <f t="shared" si="2"/>
        <v>0.7742649237789454</v>
      </c>
      <c r="D27" s="57">
        <f t="shared" si="3"/>
        <v>0.59948617219441613</v>
      </c>
    </row>
    <row r="28" spans="2:4">
      <c r="B28" s="57">
        <v>0.09</v>
      </c>
      <c r="C28" s="57">
        <f t="shared" si="2"/>
        <v>0.76923076923076916</v>
      </c>
      <c r="D28" s="57">
        <f t="shared" si="3"/>
        <v>0.59171597633136086</v>
      </c>
    </row>
    <row r="29" spans="2:4">
      <c r="B29" s="57">
        <v>9.5000000000000001E-2</v>
      </c>
      <c r="C29" s="57">
        <f t="shared" si="2"/>
        <v>0.76439701641055369</v>
      </c>
      <c r="D29" s="57">
        <f t="shared" si="3"/>
        <v>0.58430279869735624</v>
      </c>
    </row>
    <row r="30" spans="2:4">
      <c r="B30" s="57">
        <v>0.1</v>
      </c>
      <c r="C30" s="57">
        <f t="shared" si="2"/>
        <v>0.75974692664795784</v>
      </c>
      <c r="D30" s="57">
        <f t="shared" si="3"/>
        <v>0.57721539255101739</v>
      </c>
    </row>
    <row r="31" spans="2:4">
      <c r="B31" s="11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Winch specification</vt:lpstr>
      <vt:lpstr>Winch Design</vt:lpstr>
      <vt:lpstr>2013</vt:lpstr>
      <vt:lpstr>Efficiency curve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Giandomenico</dc:creator>
  <cp:lastModifiedBy>David Giandomenico</cp:lastModifiedBy>
  <cp:lastPrinted>2013-08-08T22:55:59Z</cp:lastPrinted>
  <dcterms:created xsi:type="dcterms:W3CDTF">2005-07-11T22:57:07Z</dcterms:created>
  <dcterms:modified xsi:type="dcterms:W3CDTF">2013-08-13T01:25:52Z</dcterms:modified>
</cp:coreProperties>
</file>