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rchivos Tec\Agosto 2020\MSP Línea\Planta Virtual\Bases\"/>
    </mc:Choice>
  </mc:AlternateContent>
  <xr:revisionPtr revIDLastSave="0" documentId="13_ncr:1_{5793A972-B23C-4A34-B715-04EE4DF5EBAB}" xr6:coauthVersionLast="45" xr6:coauthVersionMax="45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grafica" sheetId="1" r:id="rId1"/>
    <sheet name="Premisas" sheetId="2" r:id="rId2"/>
    <sheet name="volumenes" sheetId="4" r:id="rId3"/>
    <sheet name="Entradas" sheetId="3" r:id="rId4"/>
    <sheet name="capacidad" sheetId="5" r:id="rId5"/>
    <sheet name="Depreciación." sheetId="6" r:id="rId6"/>
    <sheet name="Financiamiento" sheetId="7" r:id="rId7"/>
    <sheet name="Balance" sheetId="8" r:id="rId8"/>
    <sheet name="Edo-Re" sheetId="9" r:id="rId9"/>
    <sheet name="Flujo" sheetId="10" r:id="rId10"/>
    <sheet name="Razones" sheetId="11" r:id="rId11"/>
  </sheets>
  <externalReferences>
    <externalReference r:id="rId12"/>
  </externalReferences>
  <definedNames>
    <definedName name="_Regression_Int" localSheetId="4" hidden="1">1</definedName>
    <definedName name="_xlnm.Extract">capacidad!#REF!</definedName>
    <definedName name="_xlnm.Print_Area" localSheetId="7">Balance!#REF!</definedName>
    <definedName name="_xlnm.Print_Area" localSheetId="4">capacidad!$H$1:$BM$161</definedName>
    <definedName name="_xlnm.Database">capacidad!$A$9:$K$28</definedName>
    <definedName name="_xlnm.Criteria">capacidad!#REF!</definedName>
    <definedName name="_xlnm.Print_Titles" localSheetId="4">capacidad!$A:$G,capacidad!#REF!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D18" i="2" s="1"/>
  <c r="E18" i="2" s="1"/>
  <c r="F18" i="2" s="1"/>
  <c r="G18" i="2" s="1"/>
  <c r="H18" i="2" s="1"/>
  <c r="I18" i="2" s="1"/>
  <c r="J18" i="2" s="1"/>
  <c r="C2" i="2" l="1"/>
  <c r="D2" i="2" s="1"/>
  <c r="E2" i="2" s="1"/>
  <c r="F2" i="2" s="1"/>
  <c r="G2" i="2" s="1"/>
  <c r="H2" i="2" s="1"/>
  <c r="I2" i="2" s="1"/>
  <c r="J2" i="2" s="1"/>
  <c r="C45" i="3"/>
  <c r="D45" i="3" s="1"/>
  <c r="E45" i="3" s="1"/>
  <c r="F45" i="3" s="1"/>
  <c r="B39" i="3"/>
  <c r="C23" i="3"/>
  <c r="D23" i="3" s="1"/>
  <c r="E23" i="3" s="1"/>
  <c r="F23" i="3" s="1"/>
  <c r="C24" i="3"/>
  <c r="D24" i="3" s="1"/>
  <c r="E24" i="3" s="1"/>
  <c r="F24" i="3" s="1"/>
  <c r="C25" i="3"/>
  <c r="D25" i="3" s="1"/>
  <c r="E25" i="3" s="1"/>
  <c r="F25" i="3" s="1"/>
  <c r="C26" i="3"/>
  <c r="D26" i="3" s="1"/>
  <c r="E26" i="3" s="1"/>
  <c r="F26" i="3" s="1"/>
  <c r="C27" i="3"/>
  <c r="D27" i="3" s="1"/>
  <c r="E27" i="3" s="1"/>
  <c r="F27" i="3" s="1"/>
  <c r="C28" i="3"/>
  <c r="D28" i="3" s="1"/>
  <c r="E28" i="3" s="1"/>
  <c r="F28" i="3" s="1"/>
  <c r="C29" i="3"/>
  <c r="D29" i="3" s="1"/>
  <c r="E29" i="3" s="1"/>
  <c r="F29" i="3" s="1"/>
  <c r="C30" i="3"/>
  <c r="D30" i="3" s="1"/>
  <c r="E30" i="3" s="1"/>
  <c r="F30" i="3" s="1"/>
  <c r="C31" i="3"/>
  <c r="D31" i="3" s="1"/>
  <c r="E31" i="3" s="1"/>
  <c r="F31" i="3" s="1"/>
  <c r="C32" i="3"/>
  <c r="D32" i="3" s="1"/>
  <c r="E32" i="3" s="1"/>
  <c r="F32" i="3" s="1"/>
  <c r="C33" i="3"/>
  <c r="D33" i="3" s="1"/>
  <c r="E33" i="3" s="1"/>
  <c r="F33" i="3" s="1"/>
  <c r="C34" i="3"/>
  <c r="D34" i="3" s="1"/>
  <c r="E34" i="3" s="1"/>
  <c r="F34" i="3" s="1"/>
  <c r="C35" i="3"/>
  <c r="D35" i="3" s="1"/>
  <c r="E35" i="3" s="1"/>
  <c r="F35" i="3" s="1"/>
  <c r="C36" i="3"/>
  <c r="D36" i="3" s="1"/>
  <c r="E36" i="3" s="1"/>
  <c r="F36" i="3" s="1"/>
  <c r="C37" i="3"/>
  <c r="D37" i="3" s="1"/>
  <c r="E37" i="3" s="1"/>
  <c r="F37" i="3" s="1"/>
  <c r="C38" i="3"/>
  <c r="D38" i="3" s="1"/>
  <c r="E38" i="3" s="1"/>
  <c r="F38" i="3" s="1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B68" i="3"/>
  <c r="D68" i="3" l="1"/>
  <c r="C68" i="3"/>
  <c r="F68" i="3" l="1"/>
  <c r="E68" i="3"/>
  <c r="C16" i="3"/>
  <c r="D16" i="3" s="1"/>
  <c r="E16" i="3" s="1"/>
  <c r="F16" i="3" s="1"/>
  <c r="F8" i="3"/>
  <c r="F69" i="3" s="1"/>
  <c r="E8" i="3"/>
  <c r="E69" i="3" s="1"/>
  <c r="D8" i="3"/>
  <c r="D69" i="3" s="1"/>
  <c r="D70" i="3" s="1"/>
  <c r="C8" i="3"/>
  <c r="C69" i="3" s="1"/>
  <c r="C70" i="3" s="1"/>
  <c r="B8" i="3"/>
  <c r="B69" i="3" s="1"/>
  <c r="B70" i="3" s="1"/>
  <c r="C7" i="3"/>
  <c r="D7" i="3" s="1"/>
  <c r="E7" i="3" s="1"/>
  <c r="F7" i="3" s="1"/>
  <c r="F3" i="3"/>
  <c r="F40" i="3" s="1"/>
  <c r="E3" i="3"/>
  <c r="E40" i="3" s="1"/>
  <c r="D3" i="3"/>
  <c r="D40" i="3" s="1"/>
  <c r="C3" i="3"/>
  <c r="C40" i="3" s="1"/>
  <c r="B3" i="3"/>
  <c r="C2" i="3"/>
  <c r="D2" i="3" s="1"/>
  <c r="E2" i="3" s="1"/>
  <c r="F2" i="3" s="1"/>
  <c r="C2" i="11"/>
  <c r="D2" i="11" s="1"/>
  <c r="E2" i="11" s="1"/>
  <c r="F2" i="11" s="1"/>
  <c r="G2" i="11" s="1"/>
  <c r="H2" i="11" s="1"/>
  <c r="I2" i="11" s="1"/>
  <c r="J2" i="11" s="1"/>
  <c r="C1" i="10"/>
  <c r="D1" i="10" s="1"/>
  <c r="E1" i="10" s="1"/>
  <c r="F1" i="10" s="1"/>
  <c r="G1" i="10" s="1"/>
  <c r="H1" i="10" s="1"/>
  <c r="I1" i="10" s="1"/>
  <c r="J1" i="10" s="1"/>
  <c r="D1" i="9"/>
  <c r="E1" i="9" s="1"/>
  <c r="F1" i="9" s="1"/>
  <c r="G1" i="9" s="1"/>
  <c r="H1" i="9" s="1"/>
  <c r="I1" i="9" s="1"/>
  <c r="J1" i="9" s="1"/>
  <c r="C1" i="9"/>
  <c r="BG2" i="5"/>
  <c r="AW2" i="5"/>
  <c r="AM2" i="5"/>
  <c r="AC2" i="5"/>
  <c r="S2" i="5"/>
  <c r="D4" i="8"/>
  <c r="E4" i="8" s="1"/>
  <c r="F4" i="8" s="1"/>
  <c r="G4" i="8" s="1"/>
  <c r="H4" i="8" s="1"/>
  <c r="I4" i="8" s="1"/>
  <c r="J4" i="8" s="1"/>
  <c r="C4" i="8"/>
  <c r="G9" i="5"/>
  <c r="T9" i="5" s="1"/>
  <c r="BG4" i="5"/>
  <c r="AW4" i="5"/>
  <c r="AM4" i="5"/>
  <c r="AC4" i="5"/>
  <c r="S4" i="5"/>
  <c r="S8" i="5" s="1"/>
  <c r="L4" i="5"/>
  <c r="K27" i="4"/>
  <c r="J27" i="4"/>
  <c r="I27" i="4"/>
  <c r="H27" i="4"/>
  <c r="G27" i="4"/>
  <c r="F27" i="4"/>
  <c r="E27" i="4"/>
  <c r="D27" i="4"/>
  <c r="C27" i="4"/>
  <c r="B27" i="4"/>
  <c r="E70" i="3" l="1"/>
  <c r="F70" i="3"/>
  <c r="B5" i="3"/>
  <c r="B40" i="3"/>
  <c r="B41" i="3" s="1"/>
  <c r="C4" i="3"/>
  <c r="B43" i="3" l="1"/>
  <c r="C12" i="8"/>
  <c r="D12" i="8" s="1"/>
  <c r="E12" i="8" s="1"/>
  <c r="F12" i="8" s="1"/>
  <c r="G12" i="8" s="1"/>
  <c r="H12" i="8" s="1"/>
  <c r="I12" i="8" s="1"/>
  <c r="J12" i="8" s="1"/>
  <c r="C13" i="8"/>
  <c r="D13" i="8" s="1"/>
  <c r="E13" i="8" s="1"/>
  <c r="F13" i="8" s="1"/>
  <c r="G13" i="8" s="1"/>
  <c r="H13" i="8" s="1"/>
  <c r="I13" i="8" s="1"/>
  <c r="J13" i="8" s="1"/>
  <c r="B33" i="8"/>
  <c r="C33" i="8"/>
  <c r="D33" i="8"/>
  <c r="E33" i="8"/>
  <c r="F33" i="8"/>
  <c r="G33" i="8"/>
  <c r="H33" i="8"/>
  <c r="I33" i="8"/>
  <c r="J33" i="8"/>
  <c r="B46" i="8"/>
  <c r="C46" i="8" s="1"/>
  <c r="C26" i="10" s="1"/>
  <c r="F49" i="8"/>
  <c r="G49" i="8"/>
  <c r="H49" i="8"/>
  <c r="I49" i="8"/>
  <c r="J49" i="8"/>
  <c r="J8" i="5"/>
  <c r="J11" i="5" s="1"/>
  <c r="K11" i="5" s="1"/>
  <c r="C11" i="1"/>
  <c r="I9" i="5"/>
  <c r="O9" i="5"/>
  <c r="Y9" i="5"/>
  <c r="AI9" i="5"/>
  <c r="AS9" i="5"/>
  <c r="BC9" i="5"/>
  <c r="BM9" i="5"/>
  <c r="G10" i="5"/>
  <c r="I10" i="5"/>
  <c r="O10" i="5"/>
  <c r="T10" i="5" s="1"/>
  <c r="Q10" i="5" s="1"/>
  <c r="Y10" i="5"/>
  <c r="AI10" i="5"/>
  <c r="AS10" i="5"/>
  <c r="BC10" i="5"/>
  <c r="BM10" i="5"/>
  <c r="G11" i="5"/>
  <c r="T11" i="5" s="1"/>
  <c r="Q11" i="5" s="1"/>
  <c r="I11" i="5"/>
  <c r="O11" i="5"/>
  <c r="Y11" i="5"/>
  <c r="AI11" i="5"/>
  <c r="AS11" i="5"/>
  <c r="BC11" i="5"/>
  <c r="BM11" i="5"/>
  <c r="G12" i="5"/>
  <c r="T12" i="5" s="1"/>
  <c r="I12" i="5"/>
  <c r="O12" i="5"/>
  <c r="Y12" i="5"/>
  <c r="AI12" i="5"/>
  <c r="AS12" i="5"/>
  <c r="BC12" i="5"/>
  <c r="BM12" i="5"/>
  <c r="G13" i="5"/>
  <c r="I13" i="5"/>
  <c r="O13" i="5"/>
  <c r="T13" i="5"/>
  <c r="Q13" i="5" s="1"/>
  <c r="Y13" i="5"/>
  <c r="AI13" i="5"/>
  <c r="AS13" i="5"/>
  <c r="BC13" i="5"/>
  <c r="BM13" i="5"/>
  <c r="G14" i="5"/>
  <c r="I14" i="5"/>
  <c r="O14" i="5"/>
  <c r="T14" i="5" s="1"/>
  <c r="Y14" i="5"/>
  <c r="AI14" i="5"/>
  <c r="AS14" i="5"/>
  <c r="BC14" i="5"/>
  <c r="BM14" i="5"/>
  <c r="G15" i="5"/>
  <c r="I15" i="5"/>
  <c r="O15" i="5"/>
  <c r="T15" i="5"/>
  <c r="Y15" i="5"/>
  <c r="AI15" i="5"/>
  <c r="AS15" i="5"/>
  <c r="BC15" i="5"/>
  <c r="BM15" i="5"/>
  <c r="G16" i="5"/>
  <c r="J11" i="1" s="1"/>
  <c r="I16" i="5"/>
  <c r="O16" i="5"/>
  <c r="T16" i="5"/>
  <c r="AD16" i="5" s="1"/>
  <c r="AN16" i="5" s="1"/>
  <c r="AX16" i="5" s="1"/>
  <c r="Y16" i="5"/>
  <c r="AI16" i="5"/>
  <c r="AS16" i="5"/>
  <c r="BC16" i="5"/>
  <c r="BM16" i="5"/>
  <c r="G17" i="5"/>
  <c r="I17" i="5"/>
  <c r="O17" i="5"/>
  <c r="T17" i="5" s="1"/>
  <c r="Q17" i="5" s="1"/>
  <c r="Y17" i="5"/>
  <c r="AI17" i="5"/>
  <c r="AS17" i="5"/>
  <c r="BC17" i="5"/>
  <c r="BM17" i="5"/>
  <c r="G18" i="5"/>
  <c r="I18" i="5"/>
  <c r="O18" i="5"/>
  <c r="Q18" i="5"/>
  <c r="T18" i="5"/>
  <c r="Y18" i="5"/>
  <c r="AD18" i="5"/>
  <c r="AN18" i="5" s="1"/>
  <c r="AX18" i="5" s="1"/>
  <c r="BH18" i="5" s="1"/>
  <c r="L12" i="1" s="1"/>
  <c r="AI18" i="5"/>
  <c r="AS18" i="5"/>
  <c r="BC18" i="5"/>
  <c r="BM18" i="5"/>
  <c r="G19" i="5"/>
  <c r="K19" i="5" s="1"/>
  <c r="I19" i="5"/>
  <c r="O19" i="5"/>
  <c r="Y19" i="5"/>
  <c r="AI19" i="5"/>
  <c r="AS19" i="5"/>
  <c r="BC19" i="5"/>
  <c r="BM19" i="5"/>
  <c r="G20" i="5"/>
  <c r="T20" i="5" s="1"/>
  <c r="I20" i="5"/>
  <c r="O20" i="5"/>
  <c r="Y20" i="5"/>
  <c r="AI20" i="5"/>
  <c r="AS20" i="5"/>
  <c r="BC20" i="5"/>
  <c r="BM20" i="5"/>
  <c r="G21" i="5"/>
  <c r="K21" i="5" s="1"/>
  <c r="I21" i="5"/>
  <c r="O21" i="5"/>
  <c r="T21" i="5" s="1"/>
  <c r="Q21" i="5" s="1"/>
  <c r="Y21" i="5"/>
  <c r="AI21" i="5"/>
  <c r="AS21" i="5"/>
  <c r="BC21" i="5"/>
  <c r="BM21" i="5"/>
  <c r="G22" i="5"/>
  <c r="I22" i="5"/>
  <c r="K22" i="5"/>
  <c r="O22" i="5"/>
  <c r="T22" i="5"/>
  <c r="U22" i="5" s="1"/>
  <c r="Y22" i="5"/>
  <c r="AD22" i="5"/>
  <c r="AE22" i="5" s="1"/>
  <c r="AI22" i="5"/>
  <c r="AN22" i="5"/>
  <c r="AO22" i="5" s="1"/>
  <c r="AS22" i="5"/>
  <c r="AX22" i="5"/>
  <c r="AY22" i="5" s="1"/>
  <c r="BC22" i="5"/>
  <c r="BH22" i="5"/>
  <c r="BI22" i="5" s="1"/>
  <c r="BM22" i="5"/>
  <c r="I23" i="5"/>
  <c r="K23" i="5"/>
  <c r="O23" i="5"/>
  <c r="T23" i="5" s="1"/>
  <c r="Y23" i="5"/>
  <c r="AI23" i="5"/>
  <c r="AS23" i="5"/>
  <c r="BC23" i="5"/>
  <c r="BM23" i="5"/>
  <c r="G24" i="5"/>
  <c r="T24" i="5" s="1"/>
  <c r="I24" i="5"/>
  <c r="K24" i="5"/>
  <c r="O24" i="5"/>
  <c r="Y24" i="5"/>
  <c r="AI24" i="5"/>
  <c r="AS24" i="5"/>
  <c r="BC24" i="5"/>
  <c r="BM24" i="5"/>
  <c r="G25" i="5"/>
  <c r="I25" i="5"/>
  <c r="K25" i="5"/>
  <c r="O25" i="5"/>
  <c r="T25" i="5" s="1"/>
  <c r="Q25" i="5" s="1"/>
  <c r="Y25" i="5"/>
  <c r="AI25" i="5"/>
  <c r="AS25" i="5"/>
  <c r="BC25" i="5"/>
  <c r="BM25" i="5"/>
  <c r="G26" i="5"/>
  <c r="I26" i="5"/>
  <c r="O26" i="5"/>
  <c r="Y26" i="5"/>
  <c r="AI26" i="5"/>
  <c r="AS26" i="5"/>
  <c r="BC26" i="5"/>
  <c r="BM26" i="5"/>
  <c r="G27" i="5"/>
  <c r="T27" i="5" s="1"/>
  <c r="I27" i="5"/>
  <c r="O27" i="5"/>
  <c r="Y27" i="5"/>
  <c r="AI27" i="5"/>
  <c r="AS27" i="5"/>
  <c r="BC27" i="5"/>
  <c r="BM27" i="5"/>
  <c r="G28" i="5"/>
  <c r="T28" i="5" s="1"/>
  <c r="I28" i="5"/>
  <c r="K28" i="5"/>
  <c r="O28" i="5"/>
  <c r="Y28" i="5"/>
  <c r="AI28" i="5"/>
  <c r="AS28" i="5"/>
  <c r="BC28" i="5"/>
  <c r="BM28" i="5"/>
  <c r="E29" i="5"/>
  <c r="H29" i="5"/>
  <c r="L29" i="5"/>
  <c r="M29" i="5"/>
  <c r="F35" i="5" s="1"/>
  <c r="V29" i="5"/>
  <c r="W29" i="5"/>
  <c r="AF29" i="5"/>
  <c r="AG29" i="5"/>
  <c r="AP29" i="5"/>
  <c r="AQ29" i="5"/>
  <c r="AZ29" i="5"/>
  <c r="BA29" i="5"/>
  <c r="BJ29" i="5"/>
  <c r="BK29" i="5"/>
  <c r="D35" i="5"/>
  <c r="A57" i="5"/>
  <c r="A86" i="5" s="1"/>
  <c r="A110" i="5" s="1"/>
  <c r="A134" i="5" s="1"/>
  <c r="A158" i="5" s="1"/>
  <c r="D60" i="5"/>
  <c r="F60" i="5"/>
  <c r="D89" i="5"/>
  <c r="F89" i="5"/>
  <c r="D113" i="5"/>
  <c r="F113" i="5"/>
  <c r="D137" i="5"/>
  <c r="F137" i="5"/>
  <c r="D161" i="5"/>
  <c r="F161" i="5"/>
  <c r="D10" i="6"/>
  <c r="E10" i="6" s="1"/>
  <c r="F10" i="6" s="1"/>
  <c r="D11" i="6"/>
  <c r="E11" i="6" s="1"/>
  <c r="F11" i="6" s="1"/>
  <c r="G11" i="6" s="1"/>
  <c r="H11" i="6" s="1"/>
  <c r="I11" i="6" s="1"/>
  <c r="J11" i="6" s="1"/>
  <c r="K11" i="6" s="1"/>
  <c r="D12" i="6"/>
  <c r="E12" i="6" s="1"/>
  <c r="F12" i="6" s="1"/>
  <c r="G12" i="6" s="1"/>
  <c r="H12" i="6" s="1"/>
  <c r="I12" i="6" s="1"/>
  <c r="J12" i="6" s="1"/>
  <c r="K12" i="6" s="1"/>
  <c r="D13" i="6"/>
  <c r="E13" i="6" s="1"/>
  <c r="F13" i="6"/>
  <c r="G13" i="6" s="1"/>
  <c r="H13" i="6" s="1"/>
  <c r="I13" i="6" s="1"/>
  <c r="J13" i="6" s="1"/>
  <c r="K13" i="6" s="1"/>
  <c r="D14" i="6"/>
  <c r="E14" i="6" s="1"/>
  <c r="F14" i="6" s="1"/>
  <c r="G14" i="6" s="1"/>
  <c r="H14" i="6" s="1"/>
  <c r="I14" i="6" s="1"/>
  <c r="J14" i="6" s="1"/>
  <c r="K14" i="6" s="1"/>
  <c r="D15" i="6"/>
  <c r="E15" i="6" s="1"/>
  <c r="F15" i="6"/>
  <c r="G15" i="6" s="1"/>
  <c r="H15" i="6" s="1"/>
  <c r="I15" i="6" s="1"/>
  <c r="J15" i="6" s="1"/>
  <c r="K15" i="6" s="1"/>
  <c r="D16" i="6"/>
  <c r="E16" i="6" s="1"/>
  <c r="F16" i="6" s="1"/>
  <c r="G16" i="6" s="1"/>
  <c r="H16" i="6" s="1"/>
  <c r="I16" i="6" s="1"/>
  <c r="J16" i="6" s="1"/>
  <c r="K16" i="6" s="1"/>
  <c r="D17" i="6"/>
  <c r="E17" i="6" s="1"/>
  <c r="F17" i="6" s="1"/>
  <c r="G17" i="6" s="1"/>
  <c r="H17" i="6" s="1"/>
  <c r="I17" i="6" s="1"/>
  <c r="J17" i="6" s="1"/>
  <c r="K17" i="6" s="1"/>
  <c r="D18" i="6"/>
  <c r="E18" i="6" s="1"/>
  <c r="F18" i="6" s="1"/>
  <c r="G18" i="6" s="1"/>
  <c r="H18" i="6" s="1"/>
  <c r="I18" i="6" s="1"/>
  <c r="J18" i="6" s="1"/>
  <c r="K18" i="6" s="1"/>
  <c r="D19" i="6"/>
  <c r="F19" i="6"/>
  <c r="G19" i="6" s="1"/>
  <c r="H19" i="6" s="1"/>
  <c r="I19" i="6" s="1"/>
  <c r="J19" i="6" s="1"/>
  <c r="K19" i="6" s="1"/>
  <c r="D20" i="6"/>
  <c r="E20" i="6" s="1"/>
  <c r="F20" i="6" s="1"/>
  <c r="G20" i="6" s="1"/>
  <c r="H20" i="6" s="1"/>
  <c r="I20" i="6" s="1"/>
  <c r="J20" i="6" s="1"/>
  <c r="K20" i="6" s="1"/>
  <c r="D21" i="6"/>
  <c r="E21" i="6" s="1"/>
  <c r="F21" i="6" s="1"/>
  <c r="G21" i="6" s="1"/>
  <c r="H21" i="6" s="1"/>
  <c r="I21" i="6" s="1"/>
  <c r="J21" i="6" s="1"/>
  <c r="K21" i="6" s="1"/>
  <c r="D22" i="6"/>
  <c r="E22" i="6" s="1"/>
  <c r="F22" i="6" s="1"/>
  <c r="G22" i="6" s="1"/>
  <c r="H22" i="6" s="1"/>
  <c r="I22" i="6" s="1"/>
  <c r="J22" i="6" s="1"/>
  <c r="K22" i="6" s="1"/>
  <c r="C24" i="6"/>
  <c r="B22" i="8" s="1"/>
  <c r="D31" i="6"/>
  <c r="E31" i="6" s="1"/>
  <c r="D32" i="6"/>
  <c r="E32" i="6" s="1"/>
  <c r="F32" i="6" s="1"/>
  <c r="G32" i="6" s="1"/>
  <c r="H32" i="6" s="1"/>
  <c r="I32" i="6" s="1"/>
  <c r="J32" i="6" s="1"/>
  <c r="K32" i="6" s="1"/>
  <c r="D33" i="6"/>
  <c r="E33" i="6" s="1"/>
  <c r="F33" i="6" s="1"/>
  <c r="G33" i="6" s="1"/>
  <c r="H33" i="6" s="1"/>
  <c r="I33" i="6" s="1"/>
  <c r="J33" i="6" s="1"/>
  <c r="K33" i="6" s="1"/>
  <c r="D34" i="6"/>
  <c r="E34" i="6"/>
  <c r="F34" i="6" s="1"/>
  <c r="G34" i="6" s="1"/>
  <c r="H34" i="6" s="1"/>
  <c r="I34" i="6" s="1"/>
  <c r="J34" i="6" s="1"/>
  <c r="K34" i="6" s="1"/>
  <c r="D35" i="6"/>
  <c r="E35" i="6" s="1"/>
  <c r="F35" i="6" s="1"/>
  <c r="G35" i="6" s="1"/>
  <c r="H35" i="6" s="1"/>
  <c r="I35" i="6" s="1"/>
  <c r="J35" i="6" s="1"/>
  <c r="K35" i="6" s="1"/>
  <c r="D36" i="6"/>
  <c r="E36" i="6" s="1"/>
  <c r="F36" i="6" s="1"/>
  <c r="G36" i="6" s="1"/>
  <c r="H36" i="6" s="1"/>
  <c r="I36" i="6" s="1"/>
  <c r="J36" i="6" s="1"/>
  <c r="K36" i="6" s="1"/>
  <c r="D37" i="6"/>
  <c r="E37" i="6" s="1"/>
  <c r="F37" i="6" s="1"/>
  <c r="G37" i="6" s="1"/>
  <c r="H37" i="6" s="1"/>
  <c r="I37" i="6" s="1"/>
  <c r="J37" i="6" s="1"/>
  <c r="K37" i="6" s="1"/>
  <c r="D38" i="6"/>
  <c r="E38" i="6" s="1"/>
  <c r="F38" i="6" s="1"/>
  <c r="G38" i="6" s="1"/>
  <c r="H38" i="6" s="1"/>
  <c r="I38" i="6" s="1"/>
  <c r="J38" i="6" s="1"/>
  <c r="K38" i="6" s="1"/>
  <c r="D39" i="6"/>
  <c r="E39" i="6"/>
  <c r="F39" i="6" s="1"/>
  <c r="G39" i="6" s="1"/>
  <c r="H39" i="6" s="1"/>
  <c r="I39" i="6" s="1"/>
  <c r="J39" i="6" s="1"/>
  <c r="K39" i="6" s="1"/>
  <c r="D40" i="6"/>
  <c r="E40" i="6" s="1"/>
  <c r="F40" i="6" s="1"/>
  <c r="G40" i="6" s="1"/>
  <c r="H40" i="6" s="1"/>
  <c r="I40" i="6" s="1"/>
  <c r="J40" i="6" s="1"/>
  <c r="K40" i="6" s="1"/>
  <c r="D41" i="6"/>
  <c r="E41" i="6" s="1"/>
  <c r="F41" i="6" s="1"/>
  <c r="G41" i="6" s="1"/>
  <c r="H41" i="6" s="1"/>
  <c r="I41" i="6" s="1"/>
  <c r="J41" i="6" s="1"/>
  <c r="K41" i="6" s="1"/>
  <c r="D42" i="6"/>
  <c r="E42" i="6"/>
  <c r="F42" i="6" s="1"/>
  <c r="G42" i="6" s="1"/>
  <c r="H42" i="6" s="1"/>
  <c r="I42" i="6" s="1"/>
  <c r="J42" i="6" s="1"/>
  <c r="K42" i="6" s="1"/>
  <c r="D43" i="6"/>
  <c r="E43" i="6" s="1"/>
  <c r="F43" i="6" s="1"/>
  <c r="G43" i="6" s="1"/>
  <c r="H43" i="6" s="1"/>
  <c r="I43" i="6" s="1"/>
  <c r="J43" i="6" s="1"/>
  <c r="K43" i="6" s="1"/>
  <c r="D44" i="6"/>
  <c r="E44" i="6" s="1"/>
  <c r="F44" i="6" s="1"/>
  <c r="G44" i="6" s="1"/>
  <c r="H44" i="6" s="1"/>
  <c r="I44" i="6" s="1"/>
  <c r="J44" i="6" s="1"/>
  <c r="K44" i="6" s="1"/>
  <c r="D45" i="6"/>
  <c r="E45" i="6" s="1"/>
  <c r="F45" i="6" s="1"/>
  <c r="G45" i="6" s="1"/>
  <c r="H45" i="6" s="1"/>
  <c r="I45" i="6" s="1"/>
  <c r="J45" i="6" s="1"/>
  <c r="K45" i="6" s="1"/>
  <c r="C47" i="6"/>
  <c r="B20" i="8" s="1"/>
  <c r="D54" i="6"/>
  <c r="E54" i="6" s="1"/>
  <c r="F54" i="6" s="1"/>
  <c r="D55" i="6"/>
  <c r="E55" i="6" s="1"/>
  <c r="F55" i="6" s="1"/>
  <c r="G55" i="6" s="1"/>
  <c r="H55" i="6" s="1"/>
  <c r="I55" i="6" s="1"/>
  <c r="J55" i="6" s="1"/>
  <c r="K55" i="6" s="1"/>
  <c r="D56" i="6"/>
  <c r="E56" i="6" s="1"/>
  <c r="F56" i="6" s="1"/>
  <c r="G56" i="6" s="1"/>
  <c r="H56" i="6" s="1"/>
  <c r="I56" i="6" s="1"/>
  <c r="J56" i="6" s="1"/>
  <c r="K56" i="6" s="1"/>
  <c r="D57" i="6"/>
  <c r="E57" i="6" s="1"/>
  <c r="F57" i="6" s="1"/>
  <c r="G57" i="6" s="1"/>
  <c r="H57" i="6" s="1"/>
  <c r="I57" i="6" s="1"/>
  <c r="J57" i="6" s="1"/>
  <c r="K57" i="6" s="1"/>
  <c r="D58" i="6"/>
  <c r="E58" i="6" s="1"/>
  <c r="F58" i="6" s="1"/>
  <c r="G58" i="6" s="1"/>
  <c r="H58" i="6" s="1"/>
  <c r="I58" i="6" s="1"/>
  <c r="J58" i="6" s="1"/>
  <c r="K58" i="6" s="1"/>
  <c r="D59" i="6"/>
  <c r="E59" i="6" s="1"/>
  <c r="F59" i="6" s="1"/>
  <c r="G59" i="6" s="1"/>
  <c r="H59" i="6" s="1"/>
  <c r="I59" i="6" s="1"/>
  <c r="J59" i="6" s="1"/>
  <c r="K59" i="6" s="1"/>
  <c r="D60" i="6"/>
  <c r="F60" i="6"/>
  <c r="G60" i="6" s="1"/>
  <c r="H60" i="6" s="1"/>
  <c r="I60" i="6" s="1"/>
  <c r="J60" i="6" s="1"/>
  <c r="K60" i="6" s="1"/>
  <c r="D61" i="6"/>
  <c r="D62" i="6"/>
  <c r="E62" i="6" s="1"/>
  <c r="F62" i="6" s="1"/>
  <c r="G62" i="6" s="1"/>
  <c r="H62" i="6" s="1"/>
  <c r="I62" i="6" s="1"/>
  <c r="J62" i="6" s="1"/>
  <c r="K62" i="6" s="1"/>
  <c r="D63" i="6"/>
  <c r="E63" i="6" s="1"/>
  <c r="F63" i="6" s="1"/>
  <c r="G63" i="6" s="1"/>
  <c r="H63" i="6" s="1"/>
  <c r="I63" i="6" s="1"/>
  <c r="J63" i="6" s="1"/>
  <c r="K63" i="6" s="1"/>
  <c r="C65" i="6"/>
  <c r="D72" i="6"/>
  <c r="E72" i="6" s="1"/>
  <c r="F72" i="6" s="1"/>
  <c r="G72" i="6" s="1"/>
  <c r="H72" i="6" s="1"/>
  <c r="I72" i="6" s="1"/>
  <c r="J72" i="6" s="1"/>
  <c r="D73" i="6"/>
  <c r="E73" i="6" s="1"/>
  <c r="F73" i="6" s="1"/>
  <c r="G73" i="6" s="1"/>
  <c r="H73" i="6" s="1"/>
  <c r="I73" i="6" s="1"/>
  <c r="J73" i="6" s="1"/>
  <c r="K73" i="6" s="1"/>
  <c r="D74" i="6"/>
  <c r="E74" i="6" s="1"/>
  <c r="F74" i="6"/>
  <c r="G74" i="6" s="1"/>
  <c r="H74" i="6" s="1"/>
  <c r="I74" i="6" s="1"/>
  <c r="J74" i="6" s="1"/>
  <c r="K74" i="6" s="1"/>
  <c r="D75" i="6"/>
  <c r="E75" i="6" s="1"/>
  <c r="F75" i="6" s="1"/>
  <c r="G75" i="6" s="1"/>
  <c r="H75" i="6" s="1"/>
  <c r="I75" i="6" s="1"/>
  <c r="J75" i="6" s="1"/>
  <c r="K75" i="6" s="1"/>
  <c r="D76" i="6"/>
  <c r="E76" i="6" s="1"/>
  <c r="F76" i="6" s="1"/>
  <c r="G76" i="6" s="1"/>
  <c r="H76" i="6" s="1"/>
  <c r="I76" i="6" s="1"/>
  <c r="J76" i="6" s="1"/>
  <c r="K76" i="6" s="1"/>
  <c r="D77" i="6"/>
  <c r="E77" i="6" s="1"/>
  <c r="F77" i="6"/>
  <c r="G77" i="6" s="1"/>
  <c r="H77" i="6" s="1"/>
  <c r="I77" i="6" s="1"/>
  <c r="J77" i="6" s="1"/>
  <c r="K77" i="6" s="1"/>
  <c r="D78" i="6"/>
  <c r="E78" i="6" s="1"/>
  <c r="F78" i="6" s="1"/>
  <c r="G78" i="6" s="1"/>
  <c r="H78" i="6" s="1"/>
  <c r="I78" i="6" s="1"/>
  <c r="J78" i="6" s="1"/>
  <c r="K78" i="6" s="1"/>
  <c r="D79" i="6"/>
  <c r="E79" i="6" s="1"/>
  <c r="D80" i="6"/>
  <c r="E80" i="6" s="1"/>
  <c r="F80" i="6" s="1"/>
  <c r="G80" i="6" s="1"/>
  <c r="H80" i="6" s="1"/>
  <c r="I80" i="6" s="1"/>
  <c r="J80" i="6" s="1"/>
  <c r="K80" i="6" s="1"/>
  <c r="D81" i="6"/>
  <c r="E81" i="6" s="1"/>
  <c r="F81" i="6" s="1"/>
  <c r="G81" i="6" s="1"/>
  <c r="H81" i="6" s="1"/>
  <c r="I81" i="6" s="1"/>
  <c r="J81" i="6" s="1"/>
  <c r="K81" i="6" s="1"/>
  <c r="D82" i="6"/>
  <c r="E82" i="6"/>
  <c r="F82" i="6" s="1"/>
  <c r="G82" i="6" s="1"/>
  <c r="H82" i="6" s="1"/>
  <c r="I82" i="6" s="1"/>
  <c r="J82" i="6" s="1"/>
  <c r="K82" i="6" s="1"/>
  <c r="D83" i="6"/>
  <c r="E83" i="6" s="1"/>
  <c r="F83" i="6" s="1"/>
  <c r="G83" i="6" s="1"/>
  <c r="H83" i="6" s="1"/>
  <c r="I83" i="6" s="1"/>
  <c r="J83" i="6" s="1"/>
  <c r="K83" i="6" s="1"/>
  <c r="C85" i="6"/>
  <c r="B24" i="8" s="1"/>
  <c r="E92" i="6"/>
  <c r="E93" i="6"/>
  <c r="E94" i="6"/>
  <c r="E95" i="6"/>
  <c r="D97" i="6"/>
  <c r="D99" i="6"/>
  <c r="D4" i="3"/>
  <c r="C5" i="3"/>
  <c r="C9" i="3"/>
  <c r="D9" i="3" s="1"/>
  <c r="D10" i="3" s="1"/>
  <c r="D5" i="9" s="1"/>
  <c r="B10" i="3"/>
  <c r="C17" i="3"/>
  <c r="C18" i="3"/>
  <c r="D18" i="3" s="1"/>
  <c r="E18" i="3" s="1"/>
  <c r="F18" i="3" s="1"/>
  <c r="C19" i="3"/>
  <c r="C20" i="3"/>
  <c r="D20" i="3" s="1"/>
  <c r="E20" i="3" s="1"/>
  <c r="F20" i="3" s="1"/>
  <c r="C21" i="3"/>
  <c r="D21" i="3" s="1"/>
  <c r="E21" i="3" s="1"/>
  <c r="F21" i="3" s="1"/>
  <c r="C22" i="3"/>
  <c r="D22" i="3" s="1"/>
  <c r="E22" i="3" s="1"/>
  <c r="F22" i="3" s="1"/>
  <c r="B2" i="7"/>
  <c r="B6" i="7"/>
  <c r="B5" i="7" s="1"/>
  <c r="C5" i="7" s="1"/>
  <c r="B7" i="7"/>
  <c r="B24" i="10"/>
  <c r="C24" i="10"/>
  <c r="D24" i="10"/>
  <c r="E24" i="10"/>
  <c r="F24" i="10"/>
  <c r="G24" i="10"/>
  <c r="H24" i="10"/>
  <c r="I24" i="10"/>
  <c r="J24" i="10"/>
  <c r="G26" i="10"/>
  <c r="H26" i="10"/>
  <c r="I26" i="10"/>
  <c r="J26" i="10"/>
  <c r="B32" i="10"/>
  <c r="D11" i="1"/>
  <c r="E11" i="1"/>
  <c r="F11" i="1"/>
  <c r="H11" i="1"/>
  <c r="I11" i="1"/>
  <c r="K11" i="1"/>
  <c r="L11" i="1"/>
  <c r="A19" i="1"/>
  <c r="C5" i="1" s="1"/>
  <c r="B19" i="1"/>
  <c r="C19" i="1"/>
  <c r="D19" i="1"/>
  <c r="E19" i="1"/>
  <c r="F19" i="1"/>
  <c r="G19" i="1"/>
  <c r="H19" i="1"/>
  <c r="I19" i="1"/>
  <c r="J19" i="1"/>
  <c r="K19" i="1"/>
  <c r="K30" i="1" s="1"/>
  <c r="L19" i="1"/>
  <c r="M19" i="1"/>
  <c r="N19" i="1"/>
  <c r="P19" i="1"/>
  <c r="A20" i="1"/>
  <c r="D5" i="1" s="1"/>
  <c r="B20" i="1"/>
  <c r="C20" i="1"/>
  <c r="D20" i="1"/>
  <c r="P20" i="1" s="1"/>
  <c r="E20" i="1"/>
  <c r="F20" i="1"/>
  <c r="F30" i="1" s="1"/>
  <c r="G20" i="1"/>
  <c r="H20" i="1"/>
  <c r="I20" i="1"/>
  <c r="J20" i="1"/>
  <c r="K20" i="1"/>
  <c r="L20" i="1"/>
  <c r="M20" i="1"/>
  <c r="N20" i="1"/>
  <c r="A21" i="1"/>
  <c r="E5" i="1" s="1"/>
  <c r="B21" i="1"/>
  <c r="C21" i="1"/>
  <c r="D21" i="1"/>
  <c r="E21" i="1"/>
  <c r="F21" i="1"/>
  <c r="P21" i="1" s="1"/>
  <c r="G21" i="1"/>
  <c r="H21" i="1"/>
  <c r="I21" i="1"/>
  <c r="J21" i="1"/>
  <c r="K21" i="1"/>
  <c r="L21" i="1"/>
  <c r="M21" i="1"/>
  <c r="N21" i="1"/>
  <c r="O21" i="1"/>
  <c r="A22" i="1"/>
  <c r="F5" i="1" s="1"/>
  <c r="B22" i="1"/>
  <c r="C22" i="1"/>
  <c r="D22" i="1"/>
  <c r="E22" i="1"/>
  <c r="F22" i="1"/>
  <c r="P22" i="1" s="1"/>
  <c r="G22" i="1"/>
  <c r="H22" i="1"/>
  <c r="I22" i="1"/>
  <c r="J22" i="1"/>
  <c r="K22" i="1"/>
  <c r="L22" i="1"/>
  <c r="M22" i="1"/>
  <c r="N22" i="1"/>
  <c r="O22" i="1"/>
  <c r="A23" i="1"/>
  <c r="G5" i="1" s="1"/>
  <c r="B23" i="1"/>
  <c r="C23" i="1"/>
  <c r="D23" i="1"/>
  <c r="E23" i="1"/>
  <c r="F23" i="1"/>
  <c r="P23" i="1" s="1"/>
  <c r="G23" i="1"/>
  <c r="H23" i="1"/>
  <c r="I23" i="1"/>
  <c r="J23" i="1"/>
  <c r="K23" i="1"/>
  <c r="L23" i="1"/>
  <c r="M23" i="1"/>
  <c r="N23" i="1"/>
  <c r="O23" i="1"/>
  <c r="A24" i="1"/>
  <c r="H5" i="1" s="1"/>
  <c r="B24" i="1"/>
  <c r="C24" i="1"/>
  <c r="D24" i="1"/>
  <c r="E24" i="1"/>
  <c r="F24" i="1"/>
  <c r="P24" i="1" s="1"/>
  <c r="G24" i="1"/>
  <c r="H24" i="1"/>
  <c r="I24" i="1"/>
  <c r="J24" i="1"/>
  <c r="K24" i="1"/>
  <c r="L24" i="1"/>
  <c r="M24" i="1"/>
  <c r="N24" i="1"/>
  <c r="O24" i="1"/>
  <c r="A25" i="1"/>
  <c r="I5" i="1" s="1"/>
  <c r="B25" i="1"/>
  <c r="C25" i="1"/>
  <c r="D25" i="1"/>
  <c r="E25" i="1"/>
  <c r="F25" i="1"/>
  <c r="P25" i="1" s="1"/>
  <c r="G25" i="1"/>
  <c r="H25" i="1"/>
  <c r="I25" i="1"/>
  <c r="J25" i="1"/>
  <c r="K25" i="1"/>
  <c r="L25" i="1"/>
  <c r="M25" i="1"/>
  <c r="N25" i="1"/>
  <c r="O25" i="1"/>
  <c r="A26" i="1"/>
  <c r="J5" i="1" s="1"/>
  <c r="B26" i="1"/>
  <c r="C26" i="1"/>
  <c r="D26" i="1"/>
  <c r="E26" i="1"/>
  <c r="F26" i="1"/>
  <c r="G26" i="1"/>
  <c r="H26" i="1"/>
  <c r="I26" i="1"/>
  <c r="J26" i="1"/>
  <c r="K26" i="1"/>
  <c r="L26" i="1"/>
  <c r="P26" i="1" s="1"/>
  <c r="M26" i="1"/>
  <c r="N26" i="1"/>
  <c r="O26" i="1"/>
  <c r="A27" i="1"/>
  <c r="K5" i="1" s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L5" i="1" s="1"/>
  <c r="B28" i="1"/>
  <c r="C28" i="1"/>
  <c r="C30" i="1" s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E30" i="1"/>
  <c r="G30" i="1"/>
  <c r="I30" i="1"/>
  <c r="J30" i="1"/>
  <c r="M30" i="1"/>
  <c r="N30" i="1"/>
  <c r="C19" i="2"/>
  <c r="D19" i="2" s="1"/>
  <c r="E19" i="2" s="1"/>
  <c r="L10" i="4"/>
  <c r="L11" i="4"/>
  <c r="L12" i="4"/>
  <c r="L13" i="4"/>
  <c r="B15" i="4"/>
  <c r="D15" i="4"/>
  <c r="AC8" i="5" s="1"/>
  <c r="F15" i="4"/>
  <c r="AM8" i="5" s="1"/>
  <c r="H15" i="4"/>
  <c r="AW8" i="5" s="1"/>
  <c r="J15" i="4"/>
  <c r="BG8" i="5" s="1"/>
  <c r="L18" i="4"/>
  <c r="L19" i="4"/>
  <c r="L20" i="4"/>
  <c r="L21" i="4"/>
  <c r="B23" i="4"/>
  <c r="D23" i="4"/>
  <c r="F23" i="4"/>
  <c r="H23" i="4"/>
  <c r="J23" i="4"/>
  <c r="I11" i="4"/>
  <c r="C39" i="3" l="1"/>
  <c r="D17" i="3"/>
  <c r="C41" i="3"/>
  <c r="C43" i="3" s="1"/>
  <c r="B5" i="9"/>
  <c r="B9" i="8" s="1"/>
  <c r="B12" i="3"/>
  <c r="C4" i="9"/>
  <c r="C17" i="9" s="1"/>
  <c r="C19" i="10" s="1"/>
  <c r="B11" i="9"/>
  <c r="B39" i="8" s="1"/>
  <c r="C28" i="10" s="1"/>
  <c r="J24" i="5"/>
  <c r="J14" i="5"/>
  <c r="K14" i="5" s="1"/>
  <c r="J15" i="5"/>
  <c r="K15" i="5" s="1"/>
  <c r="J17" i="5"/>
  <c r="K17" i="5" s="1"/>
  <c r="J13" i="5"/>
  <c r="J12" i="5"/>
  <c r="K12" i="5" s="1"/>
  <c r="J10" i="5"/>
  <c r="K10" i="5" s="1"/>
  <c r="J28" i="5"/>
  <c r="J29" i="5" s="1"/>
  <c r="J27" i="5"/>
  <c r="J26" i="5"/>
  <c r="J22" i="5"/>
  <c r="J21" i="5"/>
  <c r="J19" i="5"/>
  <c r="J16" i="5"/>
  <c r="Q9" i="5"/>
  <c r="Q24" i="5"/>
  <c r="AD24" i="5"/>
  <c r="AA24" i="5" s="1"/>
  <c r="U24" i="5"/>
  <c r="D19" i="9"/>
  <c r="D21" i="10" s="1"/>
  <c r="E10" i="4"/>
  <c r="E11" i="4"/>
  <c r="E13" i="4"/>
  <c r="Q28" i="5"/>
  <c r="R28" i="5" s="1"/>
  <c r="AD28" i="5"/>
  <c r="U27" i="5"/>
  <c r="Q27" i="5"/>
  <c r="AD27" i="5"/>
  <c r="AA27" i="5" s="1"/>
  <c r="Q23" i="5"/>
  <c r="AD23" i="5"/>
  <c r="U23" i="5"/>
  <c r="Q20" i="5"/>
  <c r="AD20" i="5"/>
  <c r="U20" i="5"/>
  <c r="AD14" i="5"/>
  <c r="Q14" i="5"/>
  <c r="K18" i="4"/>
  <c r="C12" i="4"/>
  <c r="P30" i="1"/>
  <c r="AD17" i="5"/>
  <c r="K13" i="5"/>
  <c r="AD11" i="5"/>
  <c r="AD10" i="5"/>
  <c r="G11" i="1"/>
  <c r="C49" i="6"/>
  <c r="C26" i="6"/>
  <c r="J25" i="5"/>
  <c r="J23" i="5"/>
  <c r="BE22" i="5"/>
  <c r="AU22" i="5"/>
  <c r="AK22" i="5"/>
  <c r="AA22" i="5"/>
  <c r="Q22" i="5"/>
  <c r="K20" i="5"/>
  <c r="T19" i="5"/>
  <c r="Q19" i="5" s="1"/>
  <c r="AA18" i="5"/>
  <c r="Q16" i="5"/>
  <c r="J9" i="5"/>
  <c r="K9" i="5" s="1"/>
  <c r="B49" i="8"/>
  <c r="O19" i="1"/>
  <c r="C12" i="9"/>
  <c r="C10" i="3"/>
  <c r="C5" i="9" s="1"/>
  <c r="C9" i="8" s="1"/>
  <c r="E97" i="6"/>
  <c r="E99" i="6" s="1"/>
  <c r="C87" i="6"/>
  <c r="B30" i="9" s="1"/>
  <c r="D47" i="6"/>
  <c r="D24" i="6"/>
  <c r="C22" i="8" s="1"/>
  <c r="K27" i="5"/>
  <c r="AD21" i="5"/>
  <c r="AA21" i="5" s="1"/>
  <c r="J20" i="5"/>
  <c r="J18" i="5"/>
  <c r="K18" i="5" s="1"/>
  <c r="AD13" i="5"/>
  <c r="AA13" i="5" s="1"/>
  <c r="G19" i="4"/>
  <c r="I12" i="4"/>
  <c r="I10" i="4"/>
  <c r="L23" i="4"/>
  <c r="L15" i="4"/>
  <c r="O20" i="1"/>
  <c r="O30" i="1" s="1"/>
  <c r="L30" i="1"/>
  <c r="H30" i="1"/>
  <c r="D30" i="1"/>
  <c r="D85" i="6"/>
  <c r="C24" i="8" s="1"/>
  <c r="K16" i="5"/>
  <c r="F19" i="2"/>
  <c r="K21" i="4"/>
  <c r="K19" i="4"/>
  <c r="E21" i="4"/>
  <c r="I20" i="4"/>
  <c r="E19" i="4"/>
  <c r="I18" i="4"/>
  <c r="G13" i="4"/>
  <c r="K12" i="4"/>
  <c r="K10" i="4"/>
  <c r="C21" i="4"/>
  <c r="C19" i="4"/>
  <c r="G18" i="4"/>
  <c r="D9" i="8"/>
  <c r="B4" i="9"/>
  <c r="I21" i="4"/>
  <c r="E20" i="4"/>
  <c r="I19" i="4"/>
  <c r="E18" i="4"/>
  <c r="K13" i="4"/>
  <c r="K11" i="4"/>
  <c r="C11" i="4"/>
  <c r="C10" i="8"/>
  <c r="C8" i="8"/>
  <c r="C7" i="7"/>
  <c r="K20" i="4"/>
  <c r="C20" i="4"/>
  <c r="I13" i="4"/>
  <c r="E12" i="4"/>
  <c r="B10" i="8"/>
  <c r="B19" i="9"/>
  <c r="B21" i="10" s="1"/>
  <c r="B16" i="9"/>
  <c r="B18" i="10" s="1"/>
  <c r="D18" i="9"/>
  <c r="D20" i="10" s="1"/>
  <c r="D15" i="9"/>
  <c r="D17" i="10" s="1"/>
  <c r="C6" i="7"/>
  <c r="D5" i="7" s="1"/>
  <c r="B8" i="7"/>
  <c r="B12" i="9"/>
  <c r="G54" i="6"/>
  <c r="AA17" i="5"/>
  <c r="AN17" i="5"/>
  <c r="D19" i="3"/>
  <c r="E19" i="3" s="1"/>
  <c r="F19" i="3" s="1"/>
  <c r="E9" i="3"/>
  <c r="B25" i="8"/>
  <c r="E4" i="3"/>
  <c r="D5" i="3"/>
  <c r="F79" i="6"/>
  <c r="E85" i="6"/>
  <c r="K72" i="6"/>
  <c r="E61" i="6"/>
  <c r="F61" i="6" s="1"/>
  <c r="G61" i="6" s="1"/>
  <c r="H61" i="6" s="1"/>
  <c r="I61" i="6" s="1"/>
  <c r="J61" i="6" s="1"/>
  <c r="K61" i="6" s="1"/>
  <c r="D65" i="6"/>
  <c r="B21" i="8"/>
  <c r="B28" i="9"/>
  <c r="G10" i="6"/>
  <c r="F24" i="6"/>
  <c r="S28" i="5"/>
  <c r="S29" i="5" s="1"/>
  <c r="C14" i="9"/>
  <c r="C16" i="10" s="1"/>
  <c r="C19" i="9"/>
  <c r="C21" i="10" s="1"/>
  <c r="C16" i="9"/>
  <c r="C18" i="10" s="1"/>
  <c r="B18" i="8"/>
  <c r="C67" i="6"/>
  <c r="C20" i="8"/>
  <c r="D49" i="6"/>
  <c r="E24" i="6"/>
  <c r="AA28" i="5"/>
  <c r="AB28" i="5" s="1"/>
  <c r="AC28" i="5" s="1"/>
  <c r="AC29" i="5" s="1"/>
  <c r="AE28" i="5"/>
  <c r="AN28" i="5"/>
  <c r="F31" i="6"/>
  <c r="E47" i="6"/>
  <c r="K26" i="5"/>
  <c r="T26" i="5"/>
  <c r="D26" i="6"/>
  <c r="AB27" i="5"/>
  <c r="AC27" i="5" s="1"/>
  <c r="R27" i="5"/>
  <c r="S27" i="5" s="1"/>
  <c r="BH16" i="5"/>
  <c r="U28" i="5"/>
  <c r="AN27" i="5"/>
  <c r="AD25" i="5"/>
  <c r="AA16" i="5"/>
  <c r="AE27" i="5"/>
  <c r="U25" i="5"/>
  <c r="AN24" i="5"/>
  <c r="Q15" i="5"/>
  <c r="AD15" i="5"/>
  <c r="AA10" i="5"/>
  <c r="AN10" i="5"/>
  <c r="AE24" i="5"/>
  <c r="AK18" i="5"/>
  <c r="Q12" i="5"/>
  <c r="AD12" i="5"/>
  <c r="AN11" i="5"/>
  <c r="AA11" i="5"/>
  <c r="AD9" i="5"/>
  <c r="D46" i="8"/>
  <c r="C49" i="8"/>
  <c r="U21" i="5"/>
  <c r="D39" i="3" l="1"/>
  <c r="B15" i="9"/>
  <c r="B17" i="10" s="1"/>
  <c r="C18" i="9"/>
  <c r="C20" i="10" s="1"/>
  <c r="B18" i="9"/>
  <c r="B20" i="10" s="1"/>
  <c r="D12" i="3"/>
  <c r="C12" i="3"/>
  <c r="C8" i="9"/>
  <c r="C38" i="8" s="1"/>
  <c r="C15" i="9"/>
  <c r="C17" i="10" s="1"/>
  <c r="E17" i="3"/>
  <c r="E39" i="3" s="1"/>
  <c r="D41" i="3"/>
  <c r="D43" i="3" s="1"/>
  <c r="C41" i="8"/>
  <c r="D30" i="10" s="1"/>
  <c r="D10" i="8"/>
  <c r="D16" i="9"/>
  <c r="D18" i="10" s="1"/>
  <c r="C13" i="4"/>
  <c r="G11" i="4"/>
  <c r="G12" i="4"/>
  <c r="G20" i="4"/>
  <c r="G23" i="4" s="1"/>
  <c r="E15" i="4"/>
  <c r="G21" i="4"/>
  <c r="L27" i="4"/>
  <c r="G10" i="4"/>
  <c r="G15" i="4" s="1"/>
  <c r="C18" i="4"/>
  <c r="C10" i="4"/>
  <c r="AN14" i="5"/>
  <c r="AA14" i="5"/>
  <c r="AN13" i="5"/>
  <c r="AN21" i="5"/>
  <c r="AD19" i="5"/>
  <c r="AE19" i="5" s="1"/>
  <c r="D87" i="6"/>
  <c r="I15" i="4"/>
  <c r="B23" i="8"/>
  <c r="B29" i="9"/>
  <c r="AA23" i="5"/>
  <c r="AN23" i="5"/>
  <c r="AE23" i="5"/>
  <c r="AE21" i="5"/>
  <c r="U19" i="5"/>
  <c r="AA20" i="5"/>
  <c r="AN20" i="5"/>
  <c r="AE20" i="5"/>
  <c r="AA9" i="5"/>
  <c r="AN9" i="5"/>
  <c r="AU18" i="5"/>
  <c r="AA15" i="5"/>
  <c r="AN15" i="5"/>
  <c r="D22" i="8"/>
  <c r="E26" i="6"/>
  <c r="G24" i="6"/>
  <c r="H10" i="6"/>
  <c r="D12" i="9"/>
  <c r="D7" i="7"/>
  <c r="I23" i="4"/>
  <c r="E46" i="8"/>
  <c r="D49" i="8"/>
  <c r="D26" i="10"/>
  <c r="E26" i="10"/>
  <c r="AN25" i="5"/>
  <c r="AA25" i="5"/>
  <c r="AE25" i="5"/>
  <c r="J12" i="1"/>
  <c r="D20" i="8"/>
  <c r="E49" i="6"/>
  <c r="AK28" i="5"/>
  <c r="AL28" i="5" s="1"/>
  <c r="AM28" i="5" s="1"/>
  <c r="AM29" i="5" s="1"/>
  <c r="AO28" i="5"/>
  <c r="AX28" i="5"/>
  <c r="C21" i="8"/>
  <c r="C28" i="9"/>
  <c r="H54" i="6"/>
  <c r="G65" i="6"/>
  <c r="E23" i="4"/>
  <c r="G19" i="2"/>
  <c r="AA12" i="5"/>
  <c r="AN12" i="5"/>
  <c r="G79" i="6"/>
  <c r="F85" i="6"/>
  <c r="AX10" i="5"/>
  <c r="AK10" i="5"/>
  <c r="AX27" i="5"/>
  <c r="AO27" i="5"/>
  <c r="AK27" i="5"/>
  <c r="C23" i="8"/>
  <c r="C29" i="9"/>
  <c r="G31" i="6"/>
  <c r="F47" i="6"/>
  <c r="D4" i="9"/>
  <c r="AK17" i="5"/>
  <c r="AX17" i="5"/>
  <c r="F65" i="6"/>
  <c r="B41" i="8"/>
  <c r="C30" i="10" s="1"/>
  <c r="C40" i="8"/>
  <c r="D29" i="10" s="1"/>
  <c r="B8" i="8"/>
  <c r="B13" i="10" s="1"/>
  <c r="B17" i="9"/>
  <c r="B19" i="10" s="1"/>
  <c r="B8" i="9"/>
  <c r="B14" i="9"/>
  <c r="C15" i="4"/>
  <c r="C23" i="4"/>
  <c r="AK13" i="5"/>
  <c r="AX13" i="5"/>
  <c r="AK21" i="5"/>
  <c r="AO21" i="5"/>
  <c r="AX21" i="5"/>
  <c r="B19" i="8"/>
  <c r="B27" i="8" s="1"/>
  <c r="B27" i="9"/>
  <c r="C11" i="9"/>
  <c r="E35" i="5"/>
  <c r="Q29" i="5"/>
  <c r="AK11" i="5"/>
  <c r="AX11" i="5"/>
  <c r="AK16" i="5"/>
  <c r="AK24" i="5"/>
  <c r="AO24" i="5"/>
  <c r="AX24" i="5"/>
  <c r="AN19" i="5"/>
  <c r="Q26" i="5"/>
  <c r="U26" i="5"/>
  <c r="AD26" i="5"/>
  <c r="E65" i="6"/>
  <c r="C25" i="8"/>
  <c r="C30" i="9"/>
  <c r="E22" i="8"/>
  <c r="F26" i="6"/>
  <c r="C18" i="8"/>
  <c r="D67" i="6"/>
  <c r="D24" i="8"/>
  <c r="E87" i="6"/>
  <c r="F4" i="3"/>
  <c r="E5" i="3"/>
  <c r="F9" i="3"/>
  <c r="E10" i="3"/>
  <c r="E5" i="9" s="1"/>
  <c r="B40" i="8"/>
  <c r="C29" i="10" s="1"/>
  <c r="D6" i="7"/>
  <c r="C8" i="7"/>
  <c r="K15" i="4"/>
  <c r="K23" i="4"/>
  <c r="C7" i="10" l="1"/>
  <c r="C32" i="9"/>
  <c r="C23" i="10" s="1"/>
  <c r="C26" i="9"/>
  <c r="C25" i="9" s="1"/>
  <c r="C22" i="10" s="1"/>
  <c r="C5" i="10"/>
  <c r="C15" i="10"/>
  <c r="D11" i="9"/>
  <c r="D39" i="8" s="1"/>
  <c r="E28" i="10" s="1"/>
  <c r="E41" i="3"/>
  <c r="E11" i="9" s="1"/>
  <c r="E39" i="8" s="1"/>
  <c r="F28" i="10" s="1"/>
  <c r="F17" i="3"/>
  <c r="E12" i="3"/>
  <c r="C14" i="10"/>
  <c r="AK20" i="5"/>
  <c r="AX20" i="5"/>
  <c r="AO20" i="5"/>
  <c r="AA19" i="5"/>
  <c r="AK23" i="5"/>
  <c r="AX23" i="5"/>
  <c r="AO23" i="5"/>
  <c r="AX14" i="5"/>
  <c r="AK14" i="5"/>
  <c r="E16" i="9"/>
  <c r="E18" i="10" s="1"/>
  <c r="E19" i="9"/>
  <c r="E21" i="10" s="1"/>
  <c r="E10" i="8"/>
  <c r="AL27" i="5"/>
  <c r="AM27" i="5" s="1"/>
  <c r="E6" i="7"/>
  <c r="D8" i="7"/>
  <c r="B36" i="5"/>
  <c r="C37" i="5"/>
  <c r="A39" i="5"/>
  <c r="B40" i="5"/>
  <c r="C41" i="5"/>
  <c r="A43" i="5"/>
  <c r="B44" i="5"/>
  <c r="C45" i="5"/>
  <c r="A47" i="5"/>
  <c r="B48" i="5"/>
  <c r="C49" i="5"/>
  <c r="A51" i="5"/>
  <c r="B52" i="5"/>
  <c r="C53" i="5"/>
  <c r="A55" i="5"/>
  <c r="A35" i="5"/>
  <c r="C36" i="5"/>
  <c r="A38" i="5"/>
  <c r="B39" i="5"/>
  <c r="C40" i="5"/>
  <c r="A42" i="5"/>
  <c r="B43" i="5"/>
  <c r="C44" i="5"/>
  <c r="A46" i="5"/>
  <c r="B47" i="5"/>
  <c r="C48" i="5"/>
  <c r="A50" i="5"/>
  <c r="B51" i="5"/>
  <c r="C52" i="5"/>
  <c r="A54" i="5"/>
  <c r="B55" i="5"/>
  <c r="B35" i="5"/>
  <c r="A37" i="5"/>
  <c r="B38" i="5"/>
  <c r="C39" i="5"/>
  <c r="A41" i="5"/>
  <c r="B42" i="5"/>
  <c r="C43" i="5"/>
  <c r="A45" i="5"/>
  <c r="B46" i="5"/>
  <c r="C47" i="5"/>
  <c r="A49" i="5"/>
  <c r="B50" i="5"/>
  <c r="C51" i="5"/>
  <c r="A53" i="5"/>
  <c r="B54" i="5"/>
  <c r="C55" i="5"/>
  <c r="B37" i="5"/>
  <c r="C42" i="5"/>
  <c r="A48" i="5"/>
  <c r="B53" i="5"/>
  <c r="C35" i="5"/>
  <c r="C38" i="5"/>
  <c r="A44" i="5"/>
  <c r="B49" i="5"/>
  <c r="C54" i="5"/>
  <c r="A40" i="5"/>
  <c r="B45" i="5"/>
  <c r="C50" i="5"/>
  <c r="C46" i="5"/>
  <c r="A52" i="5"/>
  <c r="A36" i="5"/>
  <c r="B41" i="5"/>
  <c r="D17" i="9"/>
  <c r="D19" i="10" s="1"/>
  <c r="D8" i="9"/>
  <c r="D14" i="9"/>
  <c r="D8" i="8"/>
  <c r="H79" i="6"/>
  <c r="G85" i="6"/>
  <c r="F18" i="8"/>
  <c r="G67" i="6"/>
  <c r="B14" i="10"/>
  <c r="E4" i="9"/>
  <c r="C19" i="8"/>
  <c r="C27" i="9"/>
  <c r="R26" i="5"/>
  <c r="S26" i="5" s="1"/>
  <c r="R16" i="5"/>
  <c r="S16" i="5" s="1"/>
  <c r="R22" i="5"/>
  <c r="S22" i="5" s="1"/>
  <c r="R18" i="5"/>
  <c r="S18" i="5" s="1"/>
  <c r="R10" i="5"/>
  <c r="S10" i="5" s="1"/>
  <c r="D6" i="1" s="1"/>
  <c r="R20" i="5"/>
  <c r="S20" i="5" s="1"/>
  <c r="R25" i="5"/>
  <c r="S25" i="5" s="1"/>
  <c r="R24" i="5"/>
  <c r="S24" i="5" s="1"/>
  <c r="R21" i="5"/>
  <c r="S21" i="5" s="1"/>
  <c r="R23" i="5"/>
  <c r="S23" i="5" s="1"/>
  <c r="R14" i="5"/>
  <c r="S14" i="5" s="1"/>
  <c r="AU16" i="5"/>
  <c r="B16" i="10"/>
  <c r="B21" i="9"/>
  <c r="B23" i="9" s="1"/>
  <c r="E18" i="8"/>
  <c r="F67" i="6"/>
  <c r="R13" i="5"/>
  <c r="S13" i="5" s="1"/>
  <c r="AU10" i="5"/>
  <c r="BH10" i="5"/>
  <c r="AX12" i="5"/>
  <c r="AK12" i="5"/>
  <c r="H65" i="6"/>
  <c r="I54" i="6"/>
  <c r="R17" i="5"/>
  <c r="S17" i="5" s="1"/>
  <c r="F22" i="8"/>
  <c r="G26" i="6"/>
  <c r="BE18" i="5"/>
  <c r="AB9" i="5"/>
  <c r="AC9" i="5" s="1"/>
  <c r="AU28" i="5"/>
  <c r="AV28" i="5" s="1"/>
  <c r="AW28" i="5" s="1"/>
  <c r="AW29" i="5" s="1"/>
  <c r="AY28" i="5"/>
  <c r="BH28" i="5"/>
  <c r="C27" i="8"/>
  <c r="D18" i="8"/>
  <c r="E67" i="6"/>
  <c r="AK19" i="5"/>
  <c r="AO19" i="5"/>
  <c r="AX19" i="5"/>
  <c r="AU24" i="5"/>
  <c r="AY24" i="5"/>
  <c r="BH24" i="5"/>
  <c r="C39" i="8"/>
  <c r="D28" i="10" s="1"/>
  <c r="C21" i="9"/>
  <c r="AU13" i="5"/>
  <c r="BH13" i="5"/>
  <c r="B38" i="8"/>
  <c r="B26" i="9"/>
  <c r="B32" i="9"/>
  <c r="B23" i="10" s="1"/>
  <c r="B5" i="10"/>
  <c r="B7" i="10"/>
  <c r="AU17" i="5"/>
  <c r="BH17" i="5"/>
  <c r="D27" i="10"/>
  <c r="R15" i="5"/>
  <c r="S15" i="5" s="1"/>
  <c r="R12" i="5"/>
  <c r="S12" i="5" s="1"/>
  <c r="R19" i="5"/>
  <c r="S19" i="5" s="1"/>
  <c r="D40" i="8"/>
  <c r="E29" i="10" s="1"/>
  <c r="D23" i="8"/>
  <c r="D29" i="9"/>
  <c r="AK15" i="5"/>
  <c r="AX15" i="5"/>
  <c r="F10" i="3"/>
  <c r="F5" i="9" s="1"/>
  <c r="H31" i="6"/>
  <c r="G47" i="6"/>
  <c r="H19" i="2"/>
  <c r="AK25" i="5"/>
  <c r="AO25" i="5"/>
  <c r="AX25" i="5"/>
  <c r="E5" i="7"/>
  <c r="H24" i="6"/>
  <c r="I10" i="6"/>
  <c r="E12" i="9"/>
  <c r="F5" i="3"/>
  <c r="E18" i="9"/>
  <c r="E20" i="10" s="1"/>
  <c r="E15" i="9"/>
  <c r="E17" i="10" s="1"/>
  <c r="E9" i="8"/>
  <c r="D25" i="8"/>
  <c r="D30" i="9"/>
  <c r="E23" i="8"/>
  <c r="E29" i="9"/>
  <c r="AA26" i="5"/>
  <c r="AB16" i="5" s="1"/>
  <c r="AC16" i="5" s="1"/>
  <c r="AE26" i="5"/>
  <c r="AN26" i="5"/>
  <c r="BH11" i="5"/>
  <c r="AU11" i="5"/>
  <c r="R9" i="5"/>
  <c r="S9" i="5" s="1"/>
  <c r="AU21" i="5"/>
  <c r="AY21" i="5"/>
  <c r="BH21" i="5"/>
  <c r="B15" i="10"/>
  <c r="E20" i="8"/>
  <c r="F49" i="6"/>
  <c r="AU27" i="5"/>
  <c r="AV27" i="5" s="1"/>
  <c r="AW27" i="5" s="1"/>
  <c r="AY27" i="5"/>
  <c r="BH27" i="5"/>
  <c r="R11" i="5"/>
  <c r="S11" i="5" s="1"/>
  <c r="E24" i="8"/>
  <c r="F87" i="6"/>
  <c r="D21" i="8"/>
  <c r="D28" i="9"/>
  <c r="AB23" i="5"/>
  <c r="AC23" i="5" s="1"/>
  <c r="AB20" i="5"/>
  <c r="AC20" i="5" s="1"/>
  <c r="E49" i="8"/>
  <c r="F26" i="10"/>
  <c r="D41" i="8"/>
  <c r="E30" i="10" s="1"/>
  <c r="AX9" i="5"/>
  <c r="AK9" i="5"/>
  <c r="F39" i="3" l="1"/>
  <c r="F41" i="3" s="1"/>
  <c r="D13" i="10"/>
  <c r="E43" i="3"/>
  <c r="D15" i="10"/>
  <c r="F12" i="3"/>
  <c r="B10" i="10"/>
  <c r="U9" i="5"/>
  <c r="AU23" i="5"/>
  <c r="AY23" i="5"/>
  <c r="BH23" i="5"/>
  <c r="AU20" i="5"/>
  <c r="BH20" i="5"/>
  <c r="AY20" i="5"/>
  <c r="AB17" i="5"/>
  <c r="AC17" i="5" s="1"/>
  <c r="C43" i="8"/>
  <c r="C51" i="8" s="1"/>
  <c r="F16" i="9"/>
  <c r="F18" i="10" s="1"/>
  <c r="F10" i="8"/>
  <c r="F19" i="9"/>
  <c r="F21" i="10" s="1"/>
  <c r="D14" i="10"/>
  <c r="C13" i="10"/>
  <c r="AU14" i="5"/>
  <c r="BH14" i="5"/>
  <c r="AE16" i="5"/>
  <c r="J7" i="1"/>
  <c r="E25" i="8"/>
  <c r="E30" i="9"/>
  <c r="F15" i="9"/>
  <c r="F17" i="10" s="1"/>
  <c r="F18" i="9"/>
  <c r="F20" i="10" s="1"/>
  <c r="F9" i="8"/>
  <c r="AU19" i="5"/>
  <c r="AY19" i="5"/>
  <c r="BH19" i="5"/>
  <c r="BE28" i="5"/>
  <c r="BF28" i="5" s="1"/>
  <c r="BG28" i="5" s="1"/>
  <c r="BG29" i="5" s="1"/>
  <c r="BI28" i="5"/>
  <c r="G18" i="8"/>
  <c r="H67" i="6"/>
  <c r="E27" i="9"/>
  <c r="F4" i="9"/>
  <c r="G22" i="8"/>
  <c r="H26" i="6"/>
  <c r="F6" i="1"/>
  <c r="U12" i="5"/>
  <c r="BE13" i="5"/>
  <c r="G12" i="1"/>
  <c r="C20" i="11"/>
  <c r="C22" i="11"/>
  <c r="C23" i="9"/>
  <c r="C34" i="9" s="1"/>
  <c r="BE24" i="5"/>
  <c r="BI24" i="5"/>
  <c r="AB18" i="5"/>
  <c r="AC18" i="5" s="1"/>
  <c r="F23" i="8"/>
  <c r="F29" i="9"/>
  <c r="U14" i="5"/>
  <c r="H6" i="1"/>
  <c r="F12" i="9"/>
  <c r="F27" i="9"/>
  <c r="AB13" i="5"/>
  <c r="AC13" i="5" s="1"/>
  <c r="BE27" i="5"/>
  <c r="BI27" i="5"/>
  <c r="BE21" i="5"/>
  <c r="BI21" i="5"/>
  <c r="I24" i="6"/>
  <c r="J10" i="6"/>
  <c r="I31" i="6"/>
  <c r="H47" i="6"/>
  <c r="B43" i="8"/>
  <c r="B51" i="8" s="1"/>
  <c r="C27" i="10"/>
  <c r="D38" i="8"/>
  <c r="D26" i="9"/>
  <c r="D5" i="10"/>
  <c r="D7" i="10"/>
  <c r="D32" i="9"/>
  <c r="D23" i="10" s="1"/>
  <c r="AB26" i="5"/>
  <c r="AC26" i="5" s="1"/>
  <c r="AB21" i="5"/>
  <c r="AC21" i="5" s="1"/>
  <c r="E7" i="7"/>
  <c r="F5" i="7"/>
  <c r="I19" i="2"/>
  <c r="AB11" i="5"/>
  <c r="AC11" i="5" s="1"/>
  <c r="I6" i="1"/>
  <c r="U15" i="5"/>
  <c r="G39" i="8"/>
  <c r="H28" i="10" s="1"/>
  <c r="AL19" i="5"/>
  <c r="AM19" i="5" s="1"/>
  <c r="AB14" i="5"/>
  <c r="AC14" i="5" s="1"/>
  <c r="AB19" i="5"/>
  <c r="AC19" i="5" s="1"/>
  <c r="K6" i="1"/>
  <c r="U17" i="5"/>
  <c r="B22" i="11"/>
  <c r="B20" i="11"/>
  <c r="U16" i="5"/>
  <c r="J6" i="1"/>
  <c r="E17" i="9"/>
  <c r="E19" i="10" s="1"/>
  <c r="E8" i="9"/>
  <c r="E14" i="9"/>
  <c r="E16" i="10" s="1"/>
  <c r="E8" i="8"/>
  <c r="E13" i="10" s="1"/>
  <c r="AL17" i="5"/>
  <c r="AM17" i="5" s="1"/>
  <c r="AB10" i="5"/>
  <c r="AC10" i="5" s="1"/>
  <c r="D7" i="1" s="1"/>
  <c r="E40" i="8"/>
  <c r="F29" i="10" s="1"/>
  <c r="K7" i="1"/>
  <c r="AE17" i="5"/>
  <c r="C7" i="1"/>
  <c r="AE9" i="5"/>
  <c r="BE10" i="5"/>
  <c r="D12" i="1"/>
  <c r="U18" i="5"/>
  <c r="L6" i="1"/>
  <c r="I79" i="6"/>
  <c r="H85" i="6"/>
  <c r="E8" i="7"/>
  <c r="F6" i="7"/>
  <c r="AB22" i="5"/>
  <c r="AC22" i="5" s="1"/>
  <c r="AB25" i="5"/>
  <c r="AC25" i="5" s="1"/>
  <c r="U11" i="5"/>
  <c r="E6" i="1"/>
  <c r="BE11" i="5"/>
  <c r="E12" i="1"/>
  <c r="AU9" i="5"/>
  <c r="BH9" i="5"/>
  <c r="AB24" i="5"/>
  <c r="AC24" i="5" s="1"/>
  <c r="AB12" i="5"/>
  <c r="AC12" i="5" s="1"/>
  <c r="E21" i="8"/>
  <c r="E28" i="9"/>
  <c r="C6" i="1"/>
  <c r="AK26" i="5"/>
  <c r="AL10" i="5" s="1"/>
  <c r="AM10" i="5" s="1"/>
  <c r="AO26" i="5"/>
  <c r="AX26" i="5"/>
  <c r="E41" i="8"/>
  <c r="F30" i="10" s="1"/>
  <c r="BH25" i="5"/>
  <c r="AU25" i="5"/>
  <c r="AY25" i="5"/>
  <c r="F20" i="8"/>
  <c r="G49" i="6"/>
  <c r="AU15" i="5"/>
  <c r="BH15" i="5"/>
  <c r="BE17" i="5"/>
  <c r="K12" i="1"/>
  <c r="B25" i="9"/>
  <c r="B22" i="10" s="1"/>
  <c r="D19" i="8"/>
  <c r="D27" i="8" s="1"/>
  <c r="D27" i="9"/>
  <c r="AB15" i="5"/>
  <c r="AC15" i="5" s="1"/>
  <c r="AL23" i="5"/>
  <c r="AM23" i="5" s="1"/>
  <c r="AA29" i="5"/>
  <c r="J54" i="6"/>
  <c r="I65" i="6"/>
  <c r="AU12" i="5"/>
  <c r="BH12" i="5"/>
  <c r="G6" i="1"/>
  <c r="U13" i="5"/>
  <c r="BE16" i="5"/>
  <c r="U10" i="5"/>
  <c r="F24" i="8"/>
  <c r="G87" i="6"/>
  <c r="D16" i="10"/>
  <c r="D21" i="9"/>
  <c r="D23" i="9" s="1"/>
  <c r="AL13" i="5"/>
  <c r="AM13" i="5" s="1"/>
  <c r="F11" i="9" l="1"/>
  <c r="F39" i="8" s="1"/>
  <c r="G28" i="10" s="1"/>
  <c r="F43" i="3"/>
  <c r="AL9" i="5"/>
  <c r="AM9" i="5" s="1"/>
  <c r="C8" i="1" s="1"/>
  <c r="E21" i="9"/>
  <c r="E20" i="11" s="1"/>
  <c r="BE20" i="5"/>
  <c r="BI20" i="5"/>
  <c r="BE14" i="5"/>
  <c r="BE23" i="5"/>
  <c r="BI23" i="5"/>
  <c r="G10" i="8"/>
  <c r="G18" i="10"/>
  <c r="G21" i="10"/>
  <c r="F21" i="8"/>
  <c r="F28" i="9"/>
  <c r="E7" i="1"/>
  <c r="AE11" i="5"/>
  <c r="K10" i="6"/>
  <c r="K24" i="6" s="1"/>
  <c r="J24" i="6"/>
  <c r="E19" i="8"/>
  <c r="D20" i="11"/>
  <c r="D22" i="11"/>
  <c r="E15" i="10"/>
  <c r="AL26" i="5"/>
  <c r="AM26" i="5" s="1"/>
  <c r="AL20" i="5"/>
  <c r="AM20" i="5" s="1"/>
  <c r="AL16" i="5"/>
  <c r="AM16" i="5" s="1"/>
  <c r="AL24" i="5"/>
  <c r="AM24" i="5" s="1"/>
  <c r="BE9" i="5"/>
  <c r="C12" i="1"/>
  <c r="AK29" i="5"/>
  <c r="G24" i="8"/>
  <c r="H87" i="6"/>
  <c r="E14" i="10"/>
  <c r="E38" i="8"/>
  <c r="E32" i="9"/>
  <c r="E23" i="10" s="1"/>
  <c r="E26" i="9"/>
  <c r="E5" i="10"/>
  <c r="E7" i="10"/>
  <c r="AL11" i="5"/>
  <c r="AM11" i="5" s="1"/>
  <c r="AL12" i="5"/>
  <c r="AM12" i="5" s="1"/>
  <c r="AL22" i="5"/>
  <c r="AM22" i="5" s="1"/>
  <c r="J19" i="2"/>
  <c r="F7" i="7"/>
  <c r="F8" i="7" s="1"/>
  <c r="G5" i="7"/>
  <c r="D43" i="8"/>
  <c r="D51" i="8" s="1"/>
  <c r="E27" i="10"/>
  <c r="H22" i="8"/>
  <c r="I26" i="6"/>
  <c r="BF27" i="5"/>
  <c r="BG27" i="5" s="1"/>
  <c r="F41" i="8"/>
  <c r="G30" i="10" s="1"/>
  <c r="AL21" i="5"/>
  <c r="AM21" i="5" s="1"/>
  <c r="C39" i="9"/>
  <c r="C28" i="11"/>
  <c r="AL14" i="5"/>
  <c r="AM14" i="5" s="1"/>
  <c r="AL25" i="5"/>
  <c r="AM25" i="5" s="1"/>
  <c r="F17" i="9"/>
  <c r="F19" i="10" s="1"/>
  <c r="F14" i="9"/>
  <c r="F16" i="10" s="1"/>
  <c r="F8" i="9"/>
  <c r="F8" i="8"/>
  <c r="F13" i="10" s="1"/>
  <c r="G27" i="9"/>
  <c r="BE19" i="5"/>
  <c r="BI19" i="5"/>
  <c r="BE25" i="5"/>
  <c r="BI25" i="5"/>
  <c r="K8" i="1"/>
  <c r="AO17" i="5"/>
  <c r="H18" i="8"/>
  <c r="I67" i="6"/>
  <c r="E60" i="5"/>
  <c r="D8" i="1"/>
  <c r="AO10" i="5"/>
  <c r="AO9" i="5"/>
  <c r="J79" i="6"/>
  <c r="I85" i="6"/>
  <c r="AE14" i="5"/>
  <c r="H7" i="1"/>
  <c r="G20" i="8"/>
  <c r="H49" i="6"/>
  <c r="G7" i="1"/>
  <c r="AE13" i="5"/>
  <c r="F40" i="8"/>
  <c r="G29" i="10" s="1"/>
  <c r="AE18" i="5"/>
  <c r="L7" i="1"/>
  <c r="H39" i="8"/>
  <c r="I28" i="10" s="1"/>
  <c r="AL15" i="5"/>
  <c r="AM15" i="5" s="1"/>
  <c r="G23" i="8"/>
  <c r="G29" i="9"/>
  <c r="G8" i="1"/>
  <c r="AO13" i="5"/>
  <c r="I7" i="1"/>
  <c r="AE15" i="5"/>
  <c r="F25" i="8"/>
  <c r="F30" i="9"/>
  <c r="BE12" i="5"/>
  <c r="F12" i="1"/>
  <c r="J65" i="6"/>
  <c r="K54" i="6"/>
  <c r="K65" i="6" s="1"/>
  <c r="BE15" i="5"/>
  <c r="I12" i="1"/>
  <c r="AU26" i="5"/>
  <c r="AV22" i="5" s="1"/>
  <c r="AW22" i="5" s="1"/>
  <c r="AY26" i="5"/>
  <c r="BH26" i="5"/>
  <c r="F7" i="1"/>
  <c r="AE12" i="5"/>
  <c r="G6" i="7"/>
  <c r="AE10" i="5"/>
  <c r="AL18" i="5"/>
  <c r="AM18" i="5" s="1"/>
  <c r="D25" i="9"/>
  <c r="D22" i="10" s="1"/>
  <c r="J31" i="6"/>
  <c r="I47" i="6"/>
  <c r="B34" i="9"/>
  <c r="G20" i="10"/>
  <c r="G17" i="10"/>
  <c r="G9" i="8"/>
  <c r="AV18" i="5"/>
  <c r="AW18" i="5" s="1"/>
  <c r="E22" i="11" l="1"/>
  <c r="E23" i="9"/>
  <c r="H10" i="8"/>
  <c r="H18" i="10"/>
  <c r="H21" i="10"/>
  <c r="E89" i="5"/>
  <c r="B103" i="5" s="1"/>
  <c r="B102" i="5" s="1"/>
  <c r="B101" i="5" s="1"/>
  <c r="B100" i="5" s="1"/>
  <c r="B99" i="5" s="1"/>
  <c r="B98" i="5" s="1"/>
  <c r="B97" i="5" s="1"/>
  <c r="B96" i="5" s="1"/>
  <c r="B95" i="5" s="1"/>
  <c r="B94" i="5" s="1"/>
  <c r="B93" i="5" s="1"/>
  <c r="B92" i="5" s="1"/>
  <c r="B91" i="5" s="1"/>
  <c r="B90" i="5" s="1"/>
  <c r="H23" i="8"/>
  <c r="H29" i="9"/>
  <c r="J8" i="1"/>
  <c r="AO16" i="5"/>
  <c r="AV14" i="5"/>
  <c r="AW14" i="5" s="1"/>
  <c r="H20" i="10"/>
  <c r="H17" i="10"/>
  <c r="H9" i="8"/>
  <c r="AV19" i="5"/>
  <c r="AW19" i="5" s="1"/>
  <c r="B39" i="9"/>
  <c r="B28" i="11"/>
  <c r="K31" i="6"/>
  <c r="K47" i="6" s="1"/>
  <c r="J47" i="6"/>
  <c r="AV20" i="5"/>
  <c r="AW20" i="5" s="1"/>
  <c r="AV25" i="5"/>
  <c r="AW25" i="5" s="1"/>
  <c r="G41" i="8"/>
  <c r="H30" i="10" s="1"/>
  <c r="H24" i="8"/>
  <c r="I87" i="6"/>
  <c r="AV11" i="5"/>
  <c r="AW11" i="5" s="1"/>
  <c r="F15" i="10"/>
  <c r="AV15" i="5"/>
  <c r="AW15" i="5" s="1"/>
  <c r="I22" i="8"/>
  <c r="J26" i="6"/>
  <c r="AY18" i="5"/>
  <c r="L9" i="1"/>
  <c r="H20" i="8"/>
  <c r="I49" i="6"/>
  <c r="H6" i="7"/>
  <c r="I18" i="8"/>
  <c r="J67" i="6"/>
  <c r="G8" i="9"/>
  <c r="G16" i="10"/>
  <c r="G19" i="10"/>
  <c r="G8" i="8"/>
  <c r="G13" i="10" s="1"/>
  <c r="I39" i="8"/>
  <c r="J28" i="10" s="1"/>
  <c r="BE26" i="5"/>
  <c r="BF14" i="5" s="1"/>
  <c r="BG14" i="5" s="1"/>
  <c r="BI26" i="5"/>
  <c r="F21" i="9"/>
  <c r="F23" i="9" s="1"/>
  <c r="G40" i="8"/>
  <c r="H29" i="10" s="1"/>
  <c r="K79" i="6"/>
  <c r="K85" i="6" s="1"/>
  <c r="J85" i="6"/>
  <c r="H27" i="9"/>
  <c r="F8" i="1"/>
  <c r="AO12" i="5"/>
  <c r="E43" i="8"/>
  <c r="E51" i="8" s="1"/>
  <c r="F27" i="10"/>
  <c r="E27" i="8"/>
  <c r="F19" i="8"/>
  <c r="J22" i="8"/>
  <c r="K26" i="6"/>
  <c r="AV26" i="5"/>
  <c r="AW26" i="5" s="1"/>
  <c r="AV24" i="5"/>
  <c r="AW24" i="5" s="1"/>
  <c r="AV13" i="5"/>
  <c r="AW13" i="5" s="1"/>
  <c r="AV23" i="5"/>
  <c r="AW23" i="5" s="1"/>
  <c r="AV21" i="5"/>
  <c r="AW21" i="5" s="1"/>
  <c r="AV17" i="5"/>
  <c r="AW17" i="5" s="1"/>
  <c r="AV10" i="5"/>
  <c r="AW10" i="5" s="1"/>
  <c r="AV16" i="5"/>
  <c r="AW16" i="5" s="1"/>
  <c r="D34" i="9"/>
  <c r="G25" i="8"/>
  <c r="G30" i="9"/>
  <c r="AU29" i="5"/>
  <c r="AO18" i="5"/>
  <c r="L8" i="1"/>
  <c r="AV9" i="5"/>
  <c r="AW9" i="5" s="1"/>
  <c r="J18" i="8"/>
  <c r="K67" i="6"/>
  <c r="I8" i="1"/>
  <c r="AO15" i="5"/>
  <c r="F14" i="10"/>
  <c r="G21" i="8"/>
  <c r="G28" i="9"/>
  <c r="B74" i="5"/>
  <c r="B73" i="5" s="1"/>
  <c r="B72" i="5" s="1"/>
  <c r="B71" i="5" s="1"/>
  <c r="B70" i="5" s="1"/>
  <c r="B69" i="5" s="1"/>
  <c r="B68" i="5" s="1"/>
  <c r="B67" i="5" s="1"/>
  <c r="B66" i="5" s="1"/>
  <c r="B65" i="5" s="1"/>
  <c r="B64" i="5" s="1"/>
  <c r="B63" i="5" s="1"/>
  <c r="B62" i="5" s="1"/>
  <c r="B61" i="5" s="1"/>
  <c r="B60" i="5" s="1"/>
  <c r="B82" i="5"/>
  <c r="B81" i="5" s="1"/>
  <c r="B80" i="5" s="1"/>
  <c r="B79" i="5" s="1"/>
  <c r="B78" i="5" s="1"/>
  <c r="B77" i="5" s="1"/>
  <c r="B76" i="5" s="1"/>
  <c r="B75" i="5" s="1"/>
  <c r="C83" i="5"/>
  <c r="C82" i="5" s="1"/>
  <c r="C81" i="5" s="1"/>
  <c r="C80" i="5" s="1"/>
  <c r="C79" i="5" s="1"/>
  <c r="C78" i="5" s="1"/>
  <c r="C77" i="5" s="1"/>
  <c r="C76" i="5" s="1"/>
  <c r="C75" i="5" s="1"/>
  <c r="A74" i="5"/>
  <c r="A73" i="5" s="1"/>
  <c r="A72" i="5" s="1"/>
  <c r="A71" i="5" s="1"/>
  <c r="A70" i="5" s="1"/>
  <c r="A69" i="5" s="1"/>
  <c r="A68" i="5" s="1"/>
  <c r="A67" i="5" s="1"/>
  <c r="A66" i="5" s="1"/>
  <c r="A65" i="5" s="1"/>
  <c r="A64" i="5" s="1"/>
  <c r="A63" i="5" s="1"/>
  <c r="A62" i="5" s="1"/>
  <c r="A61" i="5" s="1"/>
  <c r="A60" i="5" s="1"/>
  <c r="A83" i="5"/>
  <c r="C74" i="5"/>
  <c r="C73" i="5" s="1"/>
  <c r="C72" i="5" s="1"/>
  <c r="C71" i="5" s="1"/>
  <c r="C70" i="5" s="1"/>
  <c r="C69" i="5" s="1"/>
  <c r="C68" i="5" s="1"/>
  <c r="C67" i="5" s="1"/>
  <c r="C66" i="5" s="1"/>
  <c r="C65" i="5" s="1"/>
  <c r="C64" i="5" s="1"/>
  <c r="C63" i="5" s="1"/>
  <c r="C62" i="5" s="1"/>
  <c r="C61" i="5" s="1"/>
  <c r="C60" i="5" s="1"/>
  <c r="B83" i="5"/>
  <c r="A82" i="5"/>
  <c r="A81" i="5" s="1"/>
  <c r="A80" i="5" s="1"/>
  <c r="A79" i="5" s="1"/>
  <c r="A78" i="5" s="1"/>
  <c r="A77" i="5" s="1"/>
  <c r="A76" i="5" s="1"/>
  <c r="A75" i="5" s="1"/>
  <c r="BF19" i="5"/>
  <c r="BG19" i="5" s="1"/>
  <c r="BF18" i="5"/>
  <c r="BG18" i="5" s="1"/>
  <c r="F38" i="8"/>
  <c r="F26" i="9"/>
  <c r="F32" i="9"/>
  <c r="F23" i="10" s="1"/>
  <c r="F7" i="10"/>
  <c r="F5" i="10"/>
  <c r="H8" i="1"/>
  <c r="AO14" i="5"/>
  <c r="C41" i="9"/>
  <c r="C31" i="10" s="1"/>
  <c r="C35" i="10" s="1"/>
  <c r="H5" i="7"/>
  <c r="G7" i="7"/>
  <c r="G8" i="7" s="1"/>
  <c r="E8" i="1"/>
  <c r="AO11" i="5"/>
  <c r="E25" i="9"/>
  <c r="E22" i="10" s="1"/>
  <c r="BF11" i="5"/>
  <c r="BG11" i="5" s="1"/>
  <c r="AV12" i="5"/>
  <c r="AW12" i="5" s="1"/>
  <c r="C103" i="5" l="1"/>
  <c r="C102" i="5" s="1"/>
  <c r="C101" i="5" s="1"/>
  <c r="C100" i="5" s="1"/>
  <c r="C99" i="5" s="1"/>
  <c r="C98" i="5" s="1"/>
  <c r="C97" i="5" s="1"/>
  <c r="C96" i="5" s="1"/>
  <c r="C95" i="5" s="1"/>
  <c r="C94" i="5" s="1"/>
  <c r="C93" i="5" s="1"/>
  <c r="C92" i="5" s="1"/>
  <c r="C91" i="5" s="1"/>
  <c r="C90" i="5" s="1"/>
  <c r="C89" i="5" s="1"/>
  <c r="A109" i="5"/>
  <c r="C109" i="5"/>
  <c r="C108" i="5" s="1"/>
  <c r="C107" i="5" s="1"/>
  <c r="C106" i="5" s="1"/>
  <c r="C105" i="5" s="1"/>
  <c r="C104" i="5" s="1"/>
  <c r="B109" i="5"/>
  <c r="B108" i="5" s="1"/>
  <c r="B107" i="5" s="1"/>
  <c r="B106" i="5" s="1"/>
  <c r="B105" i="5" s="1"/>
  <c r="B104" i="5" s="1"/>
  <c r="E113" i="5"/>
  <c r="C127" i="5" s="1"/>
  <c r="C126" i="5" s="1"/>
  <c r="C125" i="5" s="1"/>
  <c r="C124" i="5" s="1"/>
  <c r="C123" i="5" s="1"/>
  <c r="C122" i="5" s="1"/>
  <c r="C121" i="5" s="1"/>
  <c r="C120" i="5" s="1"/>
  <c r="C119" i="5" s="1"/>
  <c r="C118" i="5" s="1"/>
  <c r="C117" i="5" s="1"/>
  <c r="C116" i="5" s="1"/>
  <c r="C115" i="5" s="1"/>
  <c r="C114" i="5" s="1"/>
  <c r="C43" i="9"/>
  <c r="C55" i="8" s="1"/>
  <c r="BF25" i="5"/>
  <c r="BG25" i="5" s="1"/>
  <c r="BF12" i="5"/>
  <c r="BG12" i="5" s="1"/>
  <c r="BI12" i="5" s="1"/>
  <c r="BE29" i="5"/>
  <c r="A108" i="5"/>
  <c r="A107" i="5" s="1"/>
  <c r="A106" i="5" s="1"/>
  <c r="A105" i="5" s="1"/>
  <c r="A104" i="5" s="1"/>
  <c r="BF13" i="5"/>
  <c r="BG13" i="5" s="1"/>
  <c r="BI13" i="5" s="1"/>
  <c r="BF9" i="5"/>
  <c r="BG9" i="5" s="1"/>
  <c r="C10" i="1" s="1"/>
  <c r="A103" i="5"/>
  <c r="A102" i="5" s="1"/>
  <c r="A101" i="5" s="1"/>
  <c r="A100" i="5" s="1"/>
  <c r="A99" i="5" s="1"/>
  <c r="A98" i="5" s="1"/>
  <c r="A97" i="5" s="1"/>
  <c r="A96" i="5" s="1"/>
  <c r="A95" i="5" s="1"/>
  <c r="A94" i="5" s="1"/>
  <c r="A93" i="5" s="1"/>
  <c r="A92" i="5" s="1"/>
  <c r="A91" i="5" s="1"/>
  <c r="A90" i="5" s="1"/>
  <c r="A89" i="5" s="1"/>
  <c r="B89" i="5"/>
  <c r="I21" i="10"/>
  <c r="I18" i="10"/>
  <c r="I10" i="8"/>
  <c r="C133" i="5"/>
  <c r="C132" i="5" s="1"/>
  <c r="C131" i="5" s="1"/>
  <c r="C130" i="5" s="1"/>
  <c r="C129" i="5" s="1"/>
  <c r="C128" i="5" s="1"/>
  <c r="D39" i="9"/>
  <c r="D28" i="11"/>
  <c r="I20" i="10"/>
  <c r="I17" i="10"/>
  <c r="I9" i="8"/>
  <c r="I5" i="7"/>
  <c r="H7" i="7"/>
  <c r="BI18" i="5"/>
  <c r="L10" i="1"/>
  <c r="J27" i="9"/>
  <c r="J9" i="1"/>
  <c r="AY16" i="5"/>
  <c r="J29" i="9"/>
  <c r="J24" i="8"/>
  <c r="K87" i="6"/>
  <c r="F22" i="11"/>
  <c r="F20" i="11"/>
  <c r="BF26" i="5"/>
  <c r="BG26" i="5" s="1"/>
  <c r="BF24" i="5"/>
  <c r="BG24" i="5" s="1"/>
  <c r="BF21" i="5"/>
  <c r="BG21" i="5" s="1"/>
  <c r="BF20" i="5"/>
  <c r="BG20" i="5" s="1"/>
  <c r="BF17" i="5"/>
  <c r="BG17" i="5" s="1"/>
  <c r="BF16" i="5"/>
  <c r="BG16" i="5" s="1"/>
  <c r="BF22" i="5"/>
  <c r="BG22" i="5" s="1"/>
  <c r="BF23" i="5"/>
  <c r="BG23" i="5" s="1"/>
  <c r="BF10" i="5"/>
  <c r="BG10" i="5" s="1"/>
  <c r="J39" i="8"/>
  <c r="H40" i="8"/>
  <c r="I29" i="10" s="1"/>
  <c r="D9" i="1"/>
  <c r="AY10" i="5"/>
  <c r="G9" i="1"/>
  <c r="AY13" i="5"/>
  <c r="G21" i="9"/>
  <c r="G23" i="9" s="1"/>
  <c r="H10" i="1"/>
  <c r="BI14" i="5"/>
  <c r="G38" i="8"/>
  <c r="G26" i="9"/>
  <c r="G32" i="9"/>
  <c r="G23" i="10" s="1"/>
  <c r="G7" i="10"/>
  <c r="G5" i="10"/>
  <c r="I9" i="1"/>
  <c r="AY15" i="5"/>
  <c r="B41" i="9"/>
  <c r="B31" i="10" s="1"/>
  <c r="E34" i="9"/>
  <c r="C26" i="11"/>
  <c r="F9" i="1"/>
  <c r="AY12" i="5"/>
  <c r="F25" i="9"/>
  <c r="F22" i="10" s="1"/>
  <c r="C9" i="1"/>
  <c r="AY9" i="5"/>
  <c r="H41" i="8"/>
  <c r="I30" i="10" s="1"/>
  <c r="K9" i="1"/>
  <c r="AY17" i="5"/>
  <c r="F27" i="8"/>
  <c r="G19" i="8"/>
  <c r="G14" i="10"/>
  <c r="BF15" i="5"/>
  <c r="BG15" i="5" s="1"/>
  <c r="I27" i="9"/>
  <c r="H8" i="7"/>
  <c r="I6" i="7"/>
  <c r="H19" i="10"/>
  <c r="H8" i="9"/>
  <c r="H16" i="10"/>
  <c r="H8" i="8"/>
  <c r="H13" i="10" s="1"/>
  <c r="E9" i="1"/>
  <c r="AY11" i="5"/>
  <c r="G15" i="10"/>
  <c r="I20" i="8"/>
  <c r="J49" i="6"/>
  <c r="H9" i="1"/>
  <c r="AY14" i="5"/>
  <c r="E10" i="1"/>
  <c r="BI11" i="5"/>
  <c r="F43" i="8"/>
  <c r="F51" i="8" s="1"/>
  <c r="G27" i="10"/>
  <c r="I24" i="8"/>
  <c r="J87" i="6"/>
  <c r="H21" i="8"/>
  <c r="H28" i="9"/>
  <c r="I23" i="8"/>
  <c r="J23" i="8" s="1"/>
  <c r="I29" i="9"/>
  <c r="H25" i="8"/>
  <c r="H30" i="9"/>
  <c r="J20" i="8"/>
  <c r="K49" i="6"/>
  <c r="H15" i="10" l="1"/>
  <c r="B43" i="9"/>
  <c r="B26" i="11" s="1"/>
  <c r="B35" i="10"/>
  <c r="B37" i="10" s="1"/>
  <c r="F10" i="1"/>
  <c r="G10" i="1"/>
  <c r="A133" i="5"/>
  <c r="A132" i="5" s="1"/>
  <c r="A131" i="5" s="1"/>
  <c r="A130" i="5" s="1"/>
  <c r="A129" i="5" s="1"/>
  <c r="A128" i="5" s="1"/>
  <c r="B127" i="5"/>
  <c r="B126" i="5" s="1"/>
  <c r="B125" i="5" s="1"/>
  <c r="B124" i="5" s="1"/>
  <c r="B123" i="5" s="1"/>
  <c r="B122" i="5" s="1"/>
  <c r="B121" i="5" s="1"/>
  <c r="B120" i="5" s="1"/>
  <c r="B119" i="5" s="1"/>
  <c r="B118" i="5" s="1"/>
  <c r="B117" i="5" s="1"/>
  <c r="B116" i="5" s="1"/>
  <c r="B115" i="5" s="1"/>
  <c r="B114" i="5" s="1"/>
  <c r="B133" i="5"/>
  <c r="B132" i="5" s="1"/>
  <c r="B131" i="5" s="1"/>
  <c r="B130" i="5" s="1"/>
  <c r="B129" i="5" s="1"/>
  <c r="B128" i="5" s="1"/>
  <c r="C113" i="5"/>
  <c r="B113" i="5"/>
  <c r="A127" i="5"/>
  <c r="A126" i="5" s="1"/>
  <c r="A125" i="5" s="1"/>
  <c r="A124" i="5" s="1"/>
  <c r="A123" i="5" s="1"/>
  <c r="A122" i="5" s="1"/>
  <c r="A121" i="5" s="1"/>
  <c r="A120" i="5" s="1"/>
  <c r="A119" i="5" s="1"/>
  <c r="A118" i="5" s="1"/>
  <c r="A117" i="5" s="1"/>
  <c r="A116" i="5" s="1"/>
  <c r="A115" i="5" s="1"/>
  <c r="A114" i="5" s="1"/>
  <c r="A113" i="5" s="1"/>
  <c r="BI9" i="5"/>
  <c r="J10" i="8"/>
  <c r="J18" i="10"/>
  <c r="J21" i="10"/>
  <c r="I25" i="8"/>
  <c r="J25" i="8" s="1"/>
  <c r="I30" i="9"/>
  <c r="H21" i="9"/>
  <c r="H23" i="9" s="1"/>
  <c r="J6" i="7"/>
  <c r="J17" i="10"/>
  <c r="J20" i="10"/>
  <c r="J9" i="8"/>
  <c r="G25" i="9"/>
  <c r="G22" i="10" s="1"/>
  <c r="H14" i="10"/>
  <c r="I41" i="8"/>
  <c r="J30" i="10" s="1"/>
  <c r="I19" i="10"/>
  <c r="I8" i="9"/>
  <c r="I16" i="10"/>
  <c r="I8" i="8"/>
  <c r="I13" i="10" s="1"/>
  <c r="E137" i="5"/>
  <c r="G43" i="8"/>
  <c r="G51" i="8" s="1"/>
  <c r="H27" i="10"/>
  <c r="J10" i="1"/>
  <c r="BI16" i="5"/>
  <c r="J30" i="9"/>
  <c r="F34" i="9"/>
  <c r="I21" i="8"/>
  <c r="I28" i="9"/>
  <c r="I10" i="1"/>
  <c r="BI15" i="5"/>
  <c r="G27" i="8"/>
  <c r="H19" i="8"/>
  <c r="J5" i="7"/>
  <c r="I7" i="7"/>
  <c r="I8" i="7" s="1"/>
  <c r="J21" i="8"/>
  <c r="J28" i="9"/>
  <c r="H38" i="8"/>
  <c r="H26" i="9"/>
  <c r="H32" i="9"/>
  <c r="H23" i="10" s="1"/>
  <c r="H5" i="10"/>
  <c r="H7" i="10"/>
  <c r="I40" i="8"/>
  <c r="J29" i="10" s="1"/>
  <c r="E39" i="9"/>
  <c r="E28" i="11"/>
  <c r="G20" i="11"/>
  <c r="G22" i="11"/>
  <c r="D10" i="1"/>
  <c r="BI10" i="5"/>
  <c r="K10" i="1"/>
  <c r="BI17" i="5"/>
  <c r="D41" i="9"/>
  <c r="D31" i="10" s="1"/>
  <c r="D35" i="10" s="1"/>
  <c r="B55" i="8" l="1"/>
  <c r="C56" i="8" s="1"/>
  <c r="D56" i="8" s="1"/>
  <c r="G34" i="9"/>
  <c r="G28" i="11" s="1"/>
  <c r="I15" i="10"/>
  <c r="B7" i="8"/>
  <c r="B15" i="8" s="1"/>
  <c r="B6" i="11" s="1"/>
  <c r="C4" i="10"/>
  <c r="C10" i="10" s="1"/>
  <c r="C37" i="10" s="1"/>
  <c r="C7" i="8" s="1"/>
  <c r="C15" i="8" s="1"/>
  <c r="I21" i="9"/>
  <c r="I22" i="11" s="1"/>
  <c r="E161" i="5"/>
  <c r="B168" i="5" s="1"/>
  <c r="B167" i="5" s="1"/>
  <c r="B166" i="5" s="1"/>
  <c r="B165" i="5" s="1"/>
  <c r="B164" i="5" s="1"/>
  <c r="B163" i="5" s="1"/>
  <c r="B162" i="5" s="1"/>
  <c r="B161" i="5" s="1"/>
  <c r="K6" i="7"/>
  <c r="J41" i="8"/>
  <c r="J15" i="10" s="1"/>
  <c r="D43" i="9"/>
  <c r="G39" i="9"/>
  <c r="I14" i="10"/>
  <c r="H43" i="8"/>
  <c r="H51" i="8" s="1"/>
  <c r="I27" i="10"/>
  <c r="J40" i="8"/>
  <c r="J14" i="10" s="1"/>
  <c r="F39" i="9"/>
  <c r="F28" i="11"/>
  <c r="I38" i="8"/>
  <c r="I32" i="9"/>
  <c r="I23" i="10" s="1"/>
  <c r="I26" i="9"/>
  <c r="I5" i="10"/>
  <c r="I7" i="10"/>
  <c r="H27" i="8"/>
  <c r="I19" i="8"/>
  <c r="J7" i="7"/>
  <c r="J8" i="7" s="1"/>
  <c r="K5" i="7"/>
  <c r="E41" i="9"/>
  <c r="E31" i="10" s="1"/>
  <c r="E35" i="10" s="1"/>
  <c r="H25" i="9"/>
  <c r="H22" i="10" s="1"/>
  <c r="A144" i="5"/>
  <c r="A143" i="5" s="1"/>
  <c r="A142" i="5" s="1"/>
  <c r="A141" i="5" s="1"/>
  <c r="A140" i="5" s="1"/>
  <c r="A139" i="5" s="1"/>
  <c r="A138" i="5" s="1"/>
  <c r="A137" i="5" s="1"/>
  <c r="B157" i="5"/>
  <c r="B156" i="5" s="1"/>
  <c r="B155" i="5" s="1"/>
  <c r="B154" i="5" s="1"/>
  <c r="B153" i="5" s="1"/>
  <c r="B152" i="5" s="1"/>
  <c r="B144" i="5"/>
  <c r="B143" i="5" s="1"/>
  <c r="B142" i="5" s="1"/>
  <c r="B141" i="5" s="1"/>
  <c r="B140" i="5" s="1"/>
  <c r="B139" i="5" s="1"/>
  <c r="B138" i="5" s="1"/>
  <c r="B137" i="5" s="1"/>
  <c r="A151" i="5"/>
  <c r="A150" i="5" s="1"/>
  <c r="A149" i="5" s="1"/>
  <c r="A148" i="5" s="1"/>
  <c r="A147" i="5" s="1"/>
  <c r="A146" i="5" s="1"/>
  <c r="A145" i="5" s="1"/>
  <c r="C157" i="5"/>
  <c r="C156" i="5" s="1"/>
  <c r="C155" i="5" s="1"/>
  <c r="C154" i="5" s="1"/>
  <c r="C153" i="5" s="1"/>
  <c r="C152" i="5" s="1"/>
  <c r="C144" i="5"/>
  <c r="C143" i="5" s="1"/>
  <c r="C142" i="5" s="1"/>
  <c r="C141" i="5" s="1"/>
  <c r="C140" i="5" s="1"/>
  <c r="C139" i="5" s="1"/>
  <c r="C138" i="5" s="1"/>
  <c r="C137" i="5" s="1"/>
  <c r="B151" i="5"/>
  <c r="B150" i="5" s="1"/>
  <c r="B149" i="5" s="1"/>
  <c r="B148" i="5" s="1"/>
  <c r="B147" i="5" s="1"/>
  <c r="B146" i="5" s="1"/>
  <c r="B145" i="5" s="1"/>
  <c r="C151" i="5"/>
  <c r="C150" i="5" s="1"/>
  <c r="C149" i="5" s="1"/>
  <c r="C148" i="5" s="1"/>
  <c r="C147" i="5" s="1"/>
  <c r="C146" i="5" s="1"/>
  <c r="C145" i="5" s="1"/>
  <c r="A157" i="5"/>
  <c r="A156" i="5" s="1"/>
  <c r="A155" i="5" s="1"/>
  <c r="A154" i="5" s="1"/>
  <c r="A153" i="5" s="1"/>
  <c r="A152" i="5" s="1"/>
  <c r="J19" i="10"/>
  <c r="J8" i="9"/>
  <c r="J16" i="10"/>
  <c r="J8" i="8"/>
  <c r="J13" i="10" s="1"/>
  <c r="H20" i="11"/>
  <c r="H22" i="11"/>
  <c r="B4" i="11" l="1"/>
  <c r="B35" i="8"/>
  <c r="B8" i="11"/>
  <c r="I20" i="11"/>
  <c r="I23" i="9"/>
  <c r="D4" i="10"/>
  <c r="D10" i="10" s="1"/>
  <c r="D37" i="10" s="1"/>
  <c r="D7" i="8" s="1"/>
  <c r="D15" i="8" s="1"/>
  <c r="B181" i="5"/>
  <c r="B180" i="5" s="1"/>
  <c r="B179" i="5" s="1"/>
  <c r="B178" i="5" s="1"/>
  <c r="B177" i="5" s="1"/>
  <c r="B176" i="5" s="1"/>
  <c r="A181" i="5"/>
  <c r="A180" i="5" s="1"/>
  <c r="A179" i="5" s="1"/>
  <c r="A178" i="5" s="1"/>
  <c r="A177" i="5" s="1"/>
  <c r="A176" i="5" s="1"/>
  <c r="A168" i="5"/>
  <c r="A167" i="5" s="1"/>
  <c r="A166" i="5" s="1"/>
  <c r="A165" i="5" s="1"/>
  <c r="A164" i="5" s="1"/>
  <c r="A163" i="5" s="1"/>
  <c r="A162" i="5" s="1"/>
  <c r="A161" i="5" s="1"/>
  <c r="B175" i="5"/>
  <c r="B174" i="5" s="1"/>
  <c r="B173" i="5" s="1"/>
  <c r="B172" i="5" s="1"/>
  <c r="B171" i="5" s="1"/>
  <c r="B170" i="5" s="1"/>
  <c r="B169" i="5" s="1"/>
  <c r="C181" i="5"/>
  <c r="C180" i="5" s="1"/>
  <c r="C179" i="5" s="1"/>
  <c r="C178" i="5" s="1"/>
  <c r="C177" i="5" s="1"/>
  <c r="C176" i="5" s="1"/>
  <c r="A175" i="5"/>
  <c r="A174" i="5" s="1"/>
  <c r="A173" i="5" s="1"/>
  <c r="A172" i="5" s="1"/>
  <c r="A171" i="5" s="1"/>
  <c r="A170" i="5" s="1"/>
  <c r="A169" i="5" s="1"/>
  <c r="C175" i="5"/>
  <c r="C174" i="5" s="1"/>
  <c r="C173" i="5" s="1"/>
  <c r="C172" i="5" s="1"/>
  <c r="C171" i="5" s="1"/>
  <c r="C170" i="5" s="1"/>
  <c r="C169" i="5" s="1"/>
  <c r="C168" i="5"/>
  <c r="C167" i="5" s="1"/>
  <c r="C166" i="5" s="1"/>
  <c r="C165" i="5" s="1"/>
  <c r="C164" i="5" s="1"/>
  <c r="C163" i="5" s="1"/>
  <c r="C162" i="5" s="1"/>
  <c r="C161" i="5" s="1"/>
  <c r="E43" i="9"/>
  <c r="E55" i="8" s="1"/>
  <c r="F41" i="9"/>
  <c r="F31" i="10" s="1"/>
  <c r="F35" i="10" s="1"/>
  <c r="L5" i="7"/>
  <c r="K7" i="7"/>
  <c r="K8" i="7" s="1"/>
  <c r="I43" i="8"/>
  <c r="I51" i="8" s="1"/>
  <c r="J27" i="10"/>
  <c r="I25" i="9"/>
  <c r="I22" i="10" s="1"/>
  <c r="H34" i="9"/>
  <c r="G41" i="9"/>
  <c r="G31" i="10" s="1"/>
  <c r="G35" i="10" s="1"/>
  <c r="J38" i="8"/>
  <c r="J43" i="8" s="1"/>
  <c r="J51" i="8" s="1"/>
  <c r="J26" i="9"/>
  <c r="J25" i="9" s="1"/>
  <c r="J32" i="9"/>
  <c r="J23" i="10" s="1"/>
  <c r="J5" i="10"/>
  <c r="J7" i="10"/>
  <c r="C35" i="8"/>
  <c r="C8" i="11"/>
  <c r="C4" i="11"/>
  <c r="C6" i="11"/>
  <c r="I27" i="8"/>
  <c r="J19" i="8"/>
  <c r="J27" i="8" s="1"/>
  <c r="J21" i="9"/>
  <c r="J23" i="9" s="1"/>
  <c r="D55" i="8"/>
  <c r="E56" i="8" s="1"/>
  <c r="D26" i="11"/>
  <c r="L6" i="7"/>
  <c r="B54" i="8"/>
  <c r="B18" i="11"/>
  <c r="B12" i="11"/>
  <c r="E4" i="10" l="1"/>
  <c r="E10" i="10" s="1"/>
  <c r="E37" i="10" s="1"/>
  <c r="E7" i="8" s="1"/>
  <c r="E15" i="8" s="1"/>
  <c r="I34" i="9"/>
  <c r="I39" i="9" s="1"/>
  <c r="G43" i="9"/>
  <c r="G26" i="11" s="1"/>
  <c r="J22" i="10"/>
  <c r="E26" i="11"/>
  <c r="J34" i="9"/>
  <c r="J39" i="9" s="1"/>
  <c r="M6" i="7"/>
  <c r="C18" i="11"/>
  <c r="C12" i="11"/>
  <c r="H39" i="9"/>
  <c r="H28" i="11"/>
  <c r="D35" i="8"/>
  <c r="D6" i="11"/>
  <c r="D8" i="11"/>
  <c r="D4" i="11"/>
  <c r="M5" i="7"/>
  <c r="L7" i="7"/>
  <c r="L8" i="7" s="1"/>
  <c r="I28" i="11"/>
  <c r="F56" i="8"/>
  <c r="F43" i="9"/>
  <c r="C54" i="8"/>
  <c r="B58" i="8"/>
  <c r="J22" i="11"/>
  <c r="J20" i="11"/>
  <c r="G55" i="8" l="1"/>
  <c r="F4" i="10"/>
  <c r="F10" i="10" s="1"/>
  <c r="F37" i="10" s="1"/>
  <c r="F7" i="8" s="1"/>
  <c r="F15" i="8" s="1"/>
  <c r="J28" i="11"/>
  <c r="F55" i="8"/>
  <c r="G56" i="8" s="1"/>
  <c r="H56" i="8" s="1"/>
  <c r="F26" i="11"/>
  <c r="B12" i="7"/>
  <c r="N6" i="7"/>
  <c r="M7" i="7"/>
  <c r="N7" i="7" s="1"/>
  <c r="N5" i="7"/>
  <c r="D18" i="11"/>
  <c r="D12" i="11"/>
  <c r="B14" i="11"/>
  <c r="B60" i="8"/>
  <c r="J41" i="9"/>
  <c r="J31" i="10" s="1"/>
  <c r="J35" i="10" s="1"/>
  <c r="E35" i="8"/>
  <c r="E4" i="11"/>
  <c r="E6" i="11"/>
  <c r="E8" i="11"/>
  <c r="D54" i="8"/>
  <c r="C58" i="8"/>
  <c r="I41" i="9"/>
  <c r="I31" i="10" s="1"/>
  <c r="I35" i="10" s="1"/>
  <c r="H41" i="9"/>
  <c r="H31" i="10" s="1"/>
  <c r="H35" i="10" s="1"/>
  <c r="G4" i="10" l="1"/>
  <c r="G10" i="10" s="1"/>
  <c r="G37" i="10" s="1"/>
  <c r="G7" i="8" s="1"/>
  <c r="G15" i="8" s="1"/>
  <c r="H43" i="9"/>
  <c r="H55" i="8" s="1"/>
  <c r="I56" i="8" s="1"/>
  <c r="J43" i="9"/>
  <c r="C12" i="7"/>
  <c r="B18" i="7"/>
  <c r="D58" i="8"/>
  <c r="E54" i="8"/>
  <c r="E18" i="11"/>
  <c r="E12" i="11"/>
  <c r="B11" i="7"/>
  <c r="M8" i="7"/>
  <c r="N8" i="7" s="1"/>
  <c r="J55" i="8"/>
  <c r="J26" i="11"/>
  <c r="C14" i="11"/>
  <c r="C60" i="8"/>
  <c r="I43" i="9"/>
  <c r="F35" i="8"/>
  <c r="F4" i="11"/>
  <c r="F6" i="11"/>
  <c r="F8" i="11"/>
  <c r="H4" i="10" l="1"/>
  <c r="H10" i="10" s="1"/>
  <c r="H37" i="10" s="1"/>
  <c r="H26" i="11"/>
  <c r="I55" i="8"/>
  <c r="J56" i="8" s="1"/>
  <c r="I26" i="11"/>
  <c r="D14" i="11"/>
  <c r="D60" i="8"/>
  <c r="D12" i="7"/>
  <c r="G35" i="8"/>
  <c r="G8" i="11"/>
  <c r="G6" i="11"/>
  <c r="G4" i="11"/>
  <c r="C18" i="7"/>
  <c r="B24" i="7"/>
  <c r="B13" i="7"/>
  <c r="C11" i="7"/>
  <c r="E58" i="8"/>
  <c r="F54" i="8"/>
  <c r="F18" i="11"/>
  <c r="F12" i="11"/>
  <c r="H7" i="8"/>
  <c r="H15" i="8" s="1"/>
  <c r="I4" i="10"/>
  <c r="I10" i="10" s="1"/>
  <c r="I37" i="10" s="1"/>
  <c r="I7" i="8" l="1"/>
  <c r="I15" i="8" s="1"/>
  <c r="J4" i="10"/>
  <c r="J10" i="10" s="1"/>
  <c r="J37" i="10" s="1"/>
  <c r="B14" i="7"/>
  <c r="C24" i="7"/>
  <c r="D18" i="7"/>
  <c r="G18" i="11"/>
  <c r="G12" i="11"/>
  <c r="D11" i="7"/>
  <c r="C13" i="7"/>
  <c r="C14" i="7" s="1"/>
  <c r="H35" i="8"/>
  <c r="H6" i="11"/>
  <c r="H8" i="11"/>
  <c r="H4" i="11"/>
  <c r="G54" i="8"/>
  <c r="F58" i="8"/>
  <c r="B30" i="7"/>
  <c r="E14" i="11"/>
  <c r="E60" i="8"/>
  <c r="E12" i="7"/>
  <c r="J7" i="8" l="1"/>
  <c r="J15" i="8" s="1"/>
  <c r="J35" i="8" s="1"/>
  <c r="B39" i="10"/>
  <c r="E11" i="7"/>
  <c r="D13" i="7"/>
  <c r="D14" i="7" s="1"/>
  <c r="F14" i="11"/>
  <c r="F60" i="8"/>
  <c r="D24" i="7"/>
  <c r="E18" i="7"/>
  <c r="F12" i="7"/>
  <c r="H54" i="8"/>
  <c r="G58" i="8"/>
  <c r="H18" i="11"/>
  <c r="H12" i="11"/>
  <c r="C30" i="7"/>
  <c r="I35" i="8"/>
  <c r="I4" i="11"/>
  <c r="I6" i="11"/>
  <c r="I8" i="11"/>
  <c r="J6" i="11" l="1"/>
  <c r="J8" i="11"/>
  <c r="J4" i="11"/>
  <c r="H58" i="8"/>
  <c r="I54" i="8"/>
  <c r="G12" i="7"/>
  <c r="D30" i="7"/>
  <c r="J18" i="11"/>
  <c r="J12" i="11"/>
  <c r="I18" i="11"/>
  <c r="I12" i="11"/>
  <c r="E13" i="7"/>
  <c r="F11" i="7"/>
  <c r="G14" i="11"/>
  <c r="G60" i="8"/>
  <c r="E24" i="7"/>
  <c r="F18" i="7"/>
  <c r="I58" i="8" l="1"/>
  <c r="J54" i="8"/>
  <c r="J58" i="8" s="1"/>
  <c r="G18" i="7"/>
  <c r="F24" i="7"/>
  <c r="H14" i="11"/>
  <c r="H60" i="8"/>
  <c r="E14" i="7"/>
  <c r="E30" i="7"/>
  <c r="F13" i="7"/>
  <c r="F14" i="7" s="1"/>
  <c r="G11" i="7"/>
  <c r="H12" i="7"/>
  <c r="I12" i="7" l="1"/>
  <c r="G24" i="7"/>
  <c r="H18" i="7"/>
  <c r="H11" i="7"/>
  <c r="G13" i="7"/>
  <c r="J14" i="11"/>
  <c r="J60" i="8"/>
  <c r="F30" i="7"/>
  <c r="I14" i="11"/>
  <c r="I60" i="8"/>
  <c r="G14" i="7" l="1"/>
  <c r="H24" i="7"/>
  <c r="I18" i="7"/>
  <c r="J12" i="7"/>
  <c r="I11" i="7"/>
  <c r="H13" i="7"/>
  <c r="H14" i="7" s="1"/>
  <c r="G30" i="7"/>
  <c r="K12" i="7" l="1"/>
  <c r="H30" i="7"/>
  <c r="J11" i="7"/>
  <c r="I13" i="7"/>
  <c r="I14" i="7" s="1"/>
  <c r="J18" i="7"/>
  <c r="I24" i="7"/>
  <c r="K18" i="7" l="1"/>
  <c r="J24" i="7"/>
  <c r="I30" i="7"/>
  <c r="J13" i="7"/>
  <c r="J14" i="7" s="1"/>
  <c r="K11" i="7"/>
  <c r="L12" i="7"/>
  <c r="L11" i="7" l="1"/>
  <c r="K13" i="7"/>
  <c r="K14" i="7" s="1"/>
  <c r="J30" i="7"/>
  <c r="M12" i="7"/>
  <c r="K24" i="7"/>
  <c r="L18" i="7"/>
  <c r="K30" i="7" l="1"/>
  <c r="L24" i="7"/>
  <c r="M18" i="7"/>
  <c r="N12" i="7"/>
  <c r="M11" i="7"/>
  <c r="L13" i="7"/>
  <c r="L14" i="7" s="1"/>
  <c r="L30" i="7" l="1"/>
  <c r="M24" i="7"/>
  <c r="N18" i="7"/>
  <c r="M13" i="7"/>
  <c r="B17" i="7"/>
  <c r="N11" i="7"/>
  <c r="M30" i="7" l="1"/>
  <c r="N24" i="7"/>
  <c r="B19" i="7"/>
  <c r="C17" i="7"/>
  <c r="N13" i="7"/>
  <c r="M14" i="7"/>
  <c r="N14" i="7" s="1"/>
  <c r="B20" i="7" l="1"/>
  <c r="N30" i="7"/>
  <c r="D17" i="7"/>
  <c r="C19" i="7"/>
  <c r="C20" i="7" s="1"/>
  <c r="E17" i="7" l="1"/>
  <c r="D19" i="7"/>
  <c r="D20" i="7" s="1"/>
  <c r="F17" i="7" l="1"/>
  <c r="E19" i="7"/>
  <c r="E20" i="7" s="1"/>
  <c r="F19" i="7" l="1"/>
  <c r="F20" i="7" s="1"/>
  <c r="G17" i="7"/>
  <c r="H17" i="7" l="1"/>
  <c r="G19" i="7"/>
  <c r="G20" i="7" s="1"/>
  <c r="I17" i="7" l="1"/>
  <c r="H19" i="7"/>
  <c r="H20" i="7" s="1"/>
  <c r="I19" i="7" l="1"/>
  <c r="I20" i="7" s="1"/>
  <c r="J17" i="7"/>
  <c r="J19" i="7" l="1"/>
  <c r="J20" i="7" s="1"/>
  <c r="K17" i="7"/>
  <c r="L17" i="7" l="1"/>
  <c r="K19" i="7"/>
  <c r="K20" i="7" s="1"/>
  <c r="M17" i="7" l="1"/>
  <c r="L19" i="7"/>
  <c r="L20" i="7" s="1"/>
  <c r="N17" i="7" l="1"/>
  <c r="B23" i="7" s="1"/>
  <c r="M19" i="7"/>
  <c r="M20" i="7" l="1"/>
  <c r="N20" i="7" s="1"/>
  <c r="N19" i="7"/>
  <c r="B25" i="7"/>
  <c r="C23" i="7"/>
  <c r="D23" i="7" l="1"/>
  <c r="C25" i="7"/>
  <c r="C26" i="7" s="1"/>
  <c r="B26" i="7"/>
  <c r="E23" i="7" l="1"/>
  <c r="D25" i="7"/>
  <c r="D26" i="7" s="1"/>
  <c r="E25" i="7" l="1"/>
  <c r="E26" i="7" s="1"/>
  <c r="F23" i="7"/>
  <c r="F25" i="7" l="1"/>
  <c r="F26" i="7" s="1"/>
  <c r="G23" i="7"/>
  <c r="H23" i="7" l="1"/>
  <c r="G25" i="7"/>
  <c r="G26" i="7" s="1"/>
  <c r="I23" i="7" l="1"/>
  <c r="H25" i="7"/>
  <c r="H26" i="7" s="1"/>
  <c r="J23" i="7" l="1"/>
  <c r="I25" i="7"/>
  <c r="I26" i="7" s="1"/>
  <c r="J25" i="7" l="1"/>
  <c r="J26" i="7" s="1"/>
  <c r="K23" i="7"/>
  <c r="L23" i="7" l="1"/>
  <c r="K25" i="7"/>
  <c r="K26" i="7" s="1"/>
  <c r="M23" i="7" l="1"/>
  <c r="L25" i="7"/>
  <c r="L26" i="7" s="1"/>
  <c r="M25" i="7" l="1"/>
  <c r="N23" i="7"/>
  <c r="B29" i="7" s="1"/>
  <c r="M26" i="7" l="1"/>
  <c r="N26" i="7" s="1"/>
  <c r="N25" i="7"/>
  <c r="B31" i="7"/>
  <c r="C29" i="7"/>
  <c r="B32" i="7" l="1"/>
  <c r="D29" i="7"/>
  <c r="C31" i="7"/>
  <c r="C32" i="7" s="1"/>
  <c r="E29" i="7" l="1"/>
  <c r="D31" i="7"/>
  <c r="D32" i="7" s="1"/>
  <c r="F29" i="7" l="1"/>
  <c r="E31" i="7"/>
  <c r="E32" i="7" s="1"/>
  <c r="F31" i="7" l="1"/>
  <c r="F32" i="7" s="1"/>
  <c r="G29" i="7"/>
  <c r="H29" i="7" l="1"/>
  <c r="G31" i="7"/>
  <c r="G32" i="7" s="1"/>
  <c r="I29" i="7" l="1"/>
  <c r="H31" i="7"/>
  <c r="H32" i="7" s="1"/>
  <c r="I31" i="7" l="1"/>
  <c r="I32" i="7" s="1"/>
  <c r="J29" i="7"/>
  <c r="J31" i="7" l="1"/>
  <c r="J32" i="7" s="1"/>
  <c r="K29" i="7"/>
  <c r="L29" i="7" l="1"/>
  <c r="K31" i="7"/>
  <c r="K32" i="7" s="1"/>
  <c r="M29" i="7" l="1"/>
  <c r="L31" i="7"/>
  <c r="L32" i="7" s="1"/>
  <c r="N29" i="7" l="1"/>
  <c r="M31" i="7"/>
  <c r="M32" i="7" l="1"/>
  <c r="N32" i="7" s="1"/>
  <c r="N31" i="7"/>
</calcChain>
</file>

<file path=xl/sharedStrings.xml><?xml version="1.0" encoding="utf-8"?>
<sst xmlns="http://schemas.openxmlformats.org/spreadsheetml/2006/main" count="708" uniqueCount="344">
  <si>
    <t>VOLUMEN PIEZAS POR 1,000</t>
  </si>
  <si>
    <t>OPERACIÓN</t>
  </si>
  <si>
    <t>REQ. 1998</t>
  </si>
  <si>
    <t>REQ. 1999</t>
  </si>
  <si>
    <t>REQ. 2000</t>
  </si>
  <si>
    <t>REQ. 2001</t>
  </si>
  <si>
    <t>REQ. 2002</t>
  </si>
  <si>
    <t>CAPACIDAD A 5300 HORAS</t>
  </si>
  <si>
    <t>CAP. FUTURA A 5300 HORAS</t>
  </si>
  <si>
    <t xml:space="preserve">INVERSIONES DLLS X 1000 </t>
  </si>
  <si>
    <t>OP. No.</t>
  </si>
  <si>
    <t>DESCRIPCION</t>
  </si>
  <si>
    <t>TOTAL/OP</t>
  </si>
  <si>
    <t>DLLS</t>
  </si>
  <si>
    <t>MAQ</t>
  </si>
  <si>
    <t>TOTAL</t>
  </si>
  <si>
    <t>PREMISAS MACROECONOMICAS</t>
  </si>
  <si>
    <t>Tipo de cambio al cierre (dolares)</t>
  </si>
  <si>
    <t>Tasa lider nacional.</t>
  </si>
  <si>
    <t>CPP</t>
  </si>
  <si>
    <t>CETES</t>
  </si>
  <si>
    <t>TIIP</t>
  </si>
  <si>
    <t>LIBOR</t>
  </si>
  <si>
    <t>Sobre tasa</t>
  </si>
  <si>
    <t>Inflación Nacional</t>
  </si>
  <si>
    <t>Inflación Extranjera</t>
  </si>
  <si>
    <t>Tasa ISR</t>
  </si>
  <si>
    <t>Tasa IMPAC</t>
  </si>
  <si>
    <t>Tasa de PTU</t>
  </si>
  <si>
    <t>POLITICAS.</t>
  </si>
  <si>
    <t>Porcentaje de Inventario.</t>
  </si>
  <si>
    <t>Porcentaje de proveedores.</t>
  </si>
  <si>
    <t>Porcentaje de pasivo corto plazo.</t>
  </si>
  <si>
    <t>Porcentaje de costo directo del producto.</t>
  </si>
  <si>
    <t>Porcentaje de costo indirecto del producto.</t>
  </si>
  <si>
    <t>Porcentaje de gasto de venta</t>
  </si>
  <si>
    <t>Porcentaje de administración</t>
  </si>
  <si>
    <t>Porcentaje depreciación Edificios</t>
  </si>
  <si>
    <t>Porcentaje depreciación Maquinaria y Equipo</t>
  </si>
  <si>
    <t>Porcentaje depreciación Equipo de Transporte</t>
  </si>
  <si>
    <t>Porcentaje depreciación Equipo de computo</t>
  </si>
  <si>
    <t>VENTAS.</t>
  </si>
  <si>
    <t>Total</t>
  </si>
  <si>
    <t>Total Costo Unitario</t>
  </si>
  <si>
    <t>Volumen</t>
  </si>
  <si>
    <t>Total Costo de Materiales.</t>
  </si>
  <si>
    <t>Margen</t>
  </si>
  <si>
    <t>Cédula 2 Costos de Producción Prod2</t>
  </si>
  <si>
    <t>Volumen de Flechas2</t>
  </si>
  <si>
    <t>Total Costo de Producción</t>
  </si>
  <si>
    <t>Depreciación</t>
  </si>
  <si>
    <t>% CONT</t>
  </si>
  <si>
    <t xml:space="preserve"> </t>
  </si>
  <si>
    <t>GRAN TOTAL</t>
  </si>
  <si>
    <t xml:space="preserve">  PRODUCTO:</t>
  </si>
  <si>
    <t xml:space="preserve">  VOLUMEN DE VENTA</t>
  </si>
  <si>
    <t xml:space="preserve">  (UNIDADES) =</t>
  </si>
  <si>
    <t xml:space="preserve"> LINEA DE PRODUCCION :</t>
  </si>
  <si>
    <t>HORAS DE PRODUCCION REQUERIDAS:</t>
  </si>
  <si>
    <t>=</t>
  </si>
  <si>
    <t>TURNO(S)</t>
  </si>
  <si>
    <t>***</t>
  </si>
  <si>
    <t>*</t>
  </si>
  <si>
    <t xml:space="preserve">   </t>
  </si>
  <si>
    <t>%</t>
  </si>
  <si>
    <t>PZAS/HR</t>
  </si>
  <si>
    <t>CANT.</t>
  </si>
  <si>
    <t>$ DLS.</t>
  </si>
  <si>
    <t>PZAS/</t>
  </si>
  <si>
    <t>SCRAP</t>
  </si>
  <si>
    <t>PZS/HR</t>
  </si>
  <si>
    <t xml:space="preserve"> CANT.</t>
  </si>
  <si>
    <t xml:space="preserve"> No.</t>
  </si>
  <si>
    <t>MAQUINARIA Y EQUIPO</t>
  </si>
  <si>
    <t>PZAS./HORA</t>
  </si>
  <si>
    <t>REQUERIDAS</t>
  </si>
  <si>
    <t>CAP.</t>
  </si>
  <si>
    <t>MAQ.</t>
  </si>
  <si>
    <t>INV'S.</t>
  </si>
  <si>
    <t>HORA</t>
  </si>
  <si>
    <t>ACUM.</t>
  </si>
  <si>
    <t>FACTOR</t>
  </si>
  <si>
    <t>OPER.</t>
  </si>
  <si>
    <t xml:space="preserve">    DE  LA  OPERACION</t>
  </si>
  <si>
    <t>MARCA</t>
  </si>
  <si>
    <t>IDENTIF.</t>
  </si>
  <si>
    <t>MAQS.</t>
  </si>
  <si>
    <t>UNIT.</t>
  </si>
  <si>
    <t>ANUAL</t>
  </si>
  <si>
    <t>UTIL.</t>
  </si>
  <si>
    <t>ADC.</t>
  </si>
  <si>
    <t>REQ'S.</t>
  </si>
  <si>
    <t>ADIC.</t>
  </si>
  <si>
    <t>INST.</t>
  </si>
  <si>
    <t>La uno</t>
  </si>
  <si>
    <t>ACME</t>
  </si>
  <si>
    <t>M-001</t>
  </si>
  <si>
    <t>La dos</t>
  </si>
  <si>
    <t>M-002</t>
  </si>
  <si>
    <t>La tres</t>
  </si>
  <si>
    <t>M-003</t>
  </si>
  <si>
    <t>La cuatro</t>
  </si>
  <si>
    <t>M-004</t>
  </si>
  <si>
    <t>La cinco</t>
  </si>
  <si>
    <t>M-005</t>
  </si>
  <si>
    <t>La seis</t>
  </si>
  <si>
    <t>M-006</t>
  </si>
  <si>
    <t>La siete</t>
  </si>
  <si>
    <t>M-007</t>
  </si>
  <si>
    <t>La ocho</t>
  </si>
  <si>
    <t>M-008</t>
  </si>
  <si>
    <t>La nueve</t>
  </si>
  <si>
    <t>M-010</t>
  </si>
  <si>
    <t>La diez</t>
  </si>
  <si>
    <t>M-011</t>
  </si>
  <si>
    <t>000000</t>
  </si>
  <si>
    <t>T O T A L E S</t>
  </si>
  <si>
    <t>CUELLOS DE BOTELLA</t>
  </si>
  <si>
    <t>No.</t>
  </si>
  <si>
    <t>% CAP</t>
  </si>
  <si>
    <t>INVERSION</t>
  </si>
  <si>
    <t>OPERACION</t>
  </si>
  <si>
    <t>TURNOS</t>
  </si>
  <si>
    <t>USD MILES</t>
  </si>
  <si>
    <t>REGRESO</t>
  </si>
  <si>
    <t>Regresar a Menu Principal</t>
  </si>
  <si>
    <t>/FRPLP.WK1~</t>
  </si>
  <si>
    <t>Cédula para calcular las depreciaciones de los equipos.</t>
  </si>
  <si>
    <t>Cédula 1 Depreciación</t>
  </si>
  <si>
    <t>Nueva-001</t>
  </si>
  <si>
    <t>Nueva-002</t>
  </si>
  <si>
    <t>Nueva-003</t>
  </si>
  <si>
    <t>Nueva-004</t>
  </si>
  <si>
    <t>Nueva-005</t>
  </si>
  <si>
    <t>Nueva-006</t>
  </si>
  <si>
    <t>EQUIPO DE TRANSPORTE.</t>
  </si>
  <si>
    <t>Auto-1</t>
  </si>
  <si>
    <t>Auto-2</t>
  </si>
  <si>
    <t>Auto-3</t>
  </si>
  <si>
    <t>Auto-4</t>
  </si>
  <si>
    <t>Camion-1</t>
  </si>
  <si>
    <t>Camion-2</t>
  </si>
  <si>
    <t>Camion-3</t>
  </si>
  <si>
    <t>Camion-4</t>
  </si>
  <si>
    <t>Nuevo-1</t>
  </si>
  <si>
    <t>Nuevo-2</t>
  </si>
  <si>
    <t>Nuevo-3</t>
  </si>
  <si>
    <t>Nuevo-4</t>
  </si>
  <si>
    <t>Nuevo-5</t>
  </si>
  <si>
    <t>Nuevo-6</t>
  </si>
  <si>
    <t>Nuevo-7</t>
  </si>
  <si>
    <t>EDIFICIOS.</t>
  </si>
  <si>
    <t>Edificios-1</t>
  </si>
  <si>
    <t>Edificios-2</t>
  </si>
  <si>
    <t>Edificios-3</t>
  </si>
  <si>
    <t>Edificios-4</t>
  </si>
  <si>
    <t>Nuevo-001</t>
  </si>
  <si>
    <t>Nuevo-002</t>
  </si>
  <si>
    <t>Nuevo-003</t>
  </si>
  <si>
    <t>Nuevo-004</t>
  </si>
  <si>
    <t>Nuevo-005</t>
  </si>
  <si>
    <t>Nuevo-006</t>
  </si>
  <si>
    <t>EQUIPO DE COMPUTO.</t>
  </si>
  <si>
    <t>Compu-001</t>
  </si>
  <si>
    <t>Amortización Seguros</t>
  </si>
  <si>
    <t>Seguro Edificios.</t>
  </si>
  <si>
    <t>Seguro equip. Transporte</t>
  </si>
  <si>
    <t>Seguro Maquinaria y Equipo</t>
  </si>
  <si>
    <t>Seguro Equip. Computo</t>
  </si>
  <si>
    <t>Amortización</t>
  </si>
  <si>
    <t>Monto</t>
  </si>
  <si>
    <t>Periodos</t>
  </si>
  <si>
    <t>Tasa</t>
  </si>
  <si>
    <t>Amortizacion</t>
  </si>
  <si>
    <t>Interés</t>
  </si>
  <si>
    <t>BALANCE GENERAL</t>
  </si>
  <si>
    <t>Activo Circulante</t>
  </si>
  <si>
    <t>Caja y Bancos</t>
  </si>
  <si>
    <t>Inventario Prod 1</t>
  </si>
  <si>
    <t>Inventario Prod 2</t>
  </si>
  <si>
    <t>Inventario Prod 3</t>
  </si>
  <si>
    <t>Cuentas por cobrar</t>
  </si>
  <si>
    <t>Acciones</t>
  </si>
  <si>
    <t>Depósito en Garantía</t>
  </si>
  <si>
    <t>Total activo circulante</t>
  </si>
  <si>
    <t>Activo Fijo</t>
  </si>
  <si>
    <t>Edificios</t>
  </si>
  <si>
    <t>Equipo de Transporte</t>
  </si>
  <si>
    <t>Maquinaria y equipo</t>
  </si>
  <si>
    <t>Equipo de Computo</t>
  </si>
  <si>
    <t>Total de activo fijo</t>
  </si>
  <si>
    <t>Activo Diferido</t>
  </si>
  <si>
    <t>Seguros</t>
  </si>
  <si>
    <t>Pago de Seguros</t>
  </si>
  <si>
    <t>Total de activo diferido</t>
  </si>
  <si>
    <t>Total de activo</t>
  </si>
  <si>
    <t>Pasivo circulante</t>
  </si>
  <si>
    <t>Documentos por pagar corto plazo</t>
  </si>
  <si>
    <t>Proveedores producto 1</t>
  </si>
  <si>
    <t>Proveedores producto 2</t>
  </si>
  <si>
    <t>Proveedores producto 3</t>
  </si>
  <si>
    <t>Total de pasivo circulante</t>
  </si>
  <si>
    <t>Pasivo a largo plazo</t>
  </si>
  <si>
    <t>Capital vigente</t>
  </si>
  <si>
    <t>Otros</t>
  </si>
  <si>
    <t>Total de pasivo a largo plazo</t>
  </si>
  <si>
    <t>Total de pasivo</t>
  </si>
  <si>
    <t>Capital contable</t>
  </si>
  <si>
    <t>Patrimonio</t>
  </si>
  <si>
    <t>Utilidad o perdida del periodo</t>
  </si>
  <si>
    <t>Utilidad o perdida acumulada</t>
  </si>
  <si>
    <t>Total de capital contable</t>
  </si>
  <si>
    <t>Activo - (Pasivo + Capital )</t>
  </si>
  <si>
    <t>ESTADO DE RESULTADOS</t>
  </si>
  <si>
    <t>VENTAS</t>
  </si>
  <si>
    <t>Producto 1</t>
  </si>
  <si>
    <t>Producto 2</t>
  </si>
  <si>
    <t>Producto 3</t>
  </si>
  <si>
    <t>Ventas Netas</t>
  </si>
  <si>
    <t>COSTOS</t>
  </si>
  <si>
    <t>Costo de Materiales Producto 1</t>
  </si>
  <si>
    <t>Costo de Materiales Producto 2</t>
  </si>
  <si>
    <t>Costo de Materiales Producto 3</t>
  </si>
  <si>
    <t>Costo Directos Producto 1</t>
  </si>
  <si>
    <t>Costo Directos Producto 2</t>
  </si>
  <si>
    <t>Costo Directos Producto 3</t>
  </si>
  <si>
    <t>Costos Indirectos Producto 1</t>
  </si>
  <si>
    <t>Costos Indirectos Producto 2</t>
  </si>
  <si>
    <t>Costos Indirectos Producto 3</t>
  </si>
  <si>
    <t>Total de Costos</t>
  </si>
  <si>
    <t>Utilidad Bruta</t>
  </si>
  <si>
    <t>Gastos de Operación.</t>
  </si>
  <si>
    <t>Gastos de Administración</t>
  </si>
  <si>
    <t>Depreciación edificios</t>
  </si>
  <si>
    <t>Depreciación equipo transp.</t>
  </si>
  <si>
    <t>Depreciación Maquinaria y equipo</t>
  </si>
  <si>
    <t>Depreciación equipo computo</t>
  </si>
  <si>
    <t>Amortización de seguros</t>
  </si>
  <si>
    <t>Gastos de Ventas</t>
  </si>
  <si>
    <t>Utilidad de Operación</t>
  </si>
  <si>
    <t>Gastos Financieros</t>
  </si>
  <si>
    <t>Productos Financieros</t>
  </si>
  <si>
    <t>Utilidad antes de impuestos</t>
  </si>
  <si>
    <t>I.S.R. y T.P.U.</t>
  </si>
  <si>
    <t>FLUJO DE EFECTIVO</t>
  </si>
  <si>
    <t>Entradas</t>
  </si>
  <si>
    <t>Saldo Inicial</t>
  </si>
  <si>
    <t>Ingresos del periodo</t>
  </si>
  <si>
    <t>Prestamo a largo plazo.</t>
  </si>
  <si>
    <t>Prestamos a corto plazo.</t>
  </si>
  <si>
    <t>Otros Ingresos</t>
  </si>
  <si>
    <t>Total de entradas</t>
  </si>
  <si>
    <t>Salidas</t>
  </si>
  <si>
    <t>Compras Prod 1</t>
  </si>
  <si>
    <t>Compras Prod 2</t>
  </si>
  <si>
    <t>Compras Prod 3</t>
  </si>
  <si>
    <t>Gastos de Operación</t>
  </si>
  <si>
    <t>Pago de Intereses</t>
  </si>
  <si>
    <t>Compra de maquinaria</t>
  </si>
  <si>
    <t>Pago de Prestamo</t>
  </si>
  <si>
    <t>Pago de pasivos a corto plazo</t>
  </si>
  <si>
    <t>Pago de Proveedores producto 1</t>
  </si>
  <si>
    <t>Pago de Proveedores producto 2</t>
  </si>
  <si>
    <t>Pago de Proveedores producto 3</t>
  </si>
  <si>
    <t>Pago de impuestos</t>
  </si>
  <si>
    <t>Pago de seguros</t>
  </si>
  <si>
    <t>Otros Egresos</t>
  </si>
  <si>
    <t>Total de salidas</t>
  </si>
  <si>
    <t>Flujo Neto de efectivo</t>
  </si>
  <si>
    <t>RAZONES</t>
  </si>
  <si>
    <t>I.- DE LIQUIDEZ</t>
  </si>
  <si>
    <t>Razón de Líquidez</t>
  </si>
  <si>
    <t>(Activo Circulante / Pasivo Circulante)</t>
  </si>
  <si>
    <t>Prueba del ácido</t>
  </si>
  <si>
    <t>(Act. Cir.-Inventario)/Pasivo Circulante</t>
  </si>
  <si>
    <t>Capital de Trabajo</t>
  </si>
  <si>
    <t>(Activo circulante - pasivo circulante)</t>
  </si>
  <si>
    <t>II.- DE ENDEUDAMIENTO</t>
  </si>
  <si>
    <t>Indice de endeudamiento</t>
  </si>
  <si>
    <t>(Pasivo total/activo total)</t>
  </si>
  <si>
    <t>(Capital contable/activo total)</t>
  </si>
  <si>
    <t>III DE EFICIENCIA Y OPERACION</t>
  </si>
  <si>
    <t>Rotación del activo total</t>
  </si>
  <si>
    <t>(ventas netas/activo total)</t>
  </si>
  <si>
    <t>Rotación de inventarios</t>
  </si>
  <si>
    <t>(inventario/costo de ventas)* días</t>
  </si>
  <si>
    <t>Rotación de proveedores</t>
  </si>
  <si>
    <t>(proveedores/costo de venta) * días</t>
  </si>
  <si>
    <t>IV DE RENTABILIDAD.</t>
  </si>
  <si>
    <t>Rentabilidad sobre las ventas</t>
  </si>
  <si>
    <t>(utilidad neta/ventas netas)</t>
  </si>
  <si>
    <t>Utilidad de Operación a ventas</t>
  </si>
  <si>
    <t>LINEA DE PRODUCCION</t>
  </si>
  <si>
    <t>CAPACIDAD  INSTALADA  2017 REAL</t>
  </si>
  <si>
    <t>Auto ZXY</t>
  </si>
  <si>
    <t>VOLUMENES PLP 2020-2025</t>
  </si>
  <si>
    <t>Ensambladora de autos Tec 21</t>
  </si>
  <si>
    <t>Tir</t>
  </si>
  <si>
    <t>Mi empresa</t>
  </si>
  <si>
    <t>Ensambladora de autos</t>
  </si>
  <si>
    <t>Deportivo</t>
  </si>
  <si>
    <t>Parts</t>
  </si>
  <si>
    <t>Estándar</t>
  </si>
  <si>
    <t>Costo partes</t>
  </si>
  <si>
    <t>Turnos</t>
  </si>
  <si>
    <t>Lineas</t>
  </si>
  <si>
    <t>Modelo auto</t>
  </si>
  <si>
    <t>Deportivos</t>
  </si>
  <si>
    <t>Clásicos</t>
  </si>
  <si>
    <t>TEC5510</t>
  </si>
  <si>
    <t>TEC5511</t>
  </si>
  <si>
    <t>TEC5512</t>
  </si>
  <si>
    <t>TEC5513</t>
  </si>
  <si>
    <t>TEC777 0</t>
  </si>
  <si>
    <t>TEC777 1</t>
  </si>
  <si>
    <t>TEC777 2</t>
  </si>
  <si>
    <t>TEC777 3</t>
  </si>
  <si>
    <t>Hr/turno</t>
  </si>
  <si>
    <t>LINEA(S)</t>
  </si>
  <si>
    <t>Gran Total de ventas</t>
  </si>
  <si>
    <t>l</t>
  </si>
  <si>
    <t>Llanta trasera</t>
  </si>
  <si>
    <t>Llanta delantera</t>
  </si>
  <si>
    <t>Rin delantero</t>
  </si>
  <si>
    <t>Rin trasero</t>
  </si>
  <si>
    <t>Manguera naranja</t>
  </si>
  <si>
    <t>Soporte naranja trasero</t>
  </si>
  <si>
    <t>Tablero naranja</t>
  </si>
  <si>
    <t>Gomas</t>
  </si>
  <si>
    <t>Unión naranja delantera</t>
  </si>
  <si>
    <t>Base trasera (chasis)</t>
  </si>
  <si>
    <t>Base de metal vino</t>
  </si>
  <si>
    <t>Eje</t>
  </si>
  <si>
    <t>Soporte de metal laterales</t>
  </si>
  <si>
    <t>Unión eje trasero</t>
  </si>
  <si>
    <t>Base delantero (chasis)</t>
  </si>
  <si>
    <t>Soporte L</t>
  </si>
  <si>
    <t>Puertas vino (chasis)</t>
  </si>
  <si>
    <t>Bases manguera naranja</t>
  </si>
  <si>
    <t>Tornillo bola chico</t>
  </si>
  <si>
    <t>Tornillo bola mediano</t>
  </si>
  <si>
    <t>Tornillo bola grande</t>
  </si>
  <si>
    <t>Tuercas</t>
  </si>
  <si>
    <t>Cédula 2 Costos de Materiales Auto Deportivo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</si>
</sst>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%"/>
    <numFmt numFmtId="166" formatCode="General_)"/>
    <numFmt numFmtId="167" formatCode="0_)"/>
    <numFmt numFmtId="168" formatCode="0.0_)"/>
    <numFmt numFmtId="169" formatCode="0.00_)"/>
    <numFmt numFmtId="170" formatCode=";;;"/>
  </numFmts>
  <fonts count="23" x14ac:knownFonts="1">
    <font>
      <sz val="10"/>
      <name val="Footlight MT Light"/>
    </font>
    <font>
      <b/>
      <sz val="10"/>
      <name val="Footlight MT Light"/>
      <family val="1"/>
    </font>
    <font>
      <sz val="8"/>
      <name val="Footlight MT Light"/>
      <family val="1"/>
    </font>
    <font>
      <sz val="10"/>
      <color indexed="48"/>
      <name val="Footlight MT Light"/>
      <family val="1"/>
    </font>
    <font>
      <sz val="10"/>
      <color indexed="21"/>
      <name val="Footlight MT Light"/>
      <family val="1"/>
    </font>
    <font>
      <sz val="10"/>
      <name val="Footlight MT Light"/>
      <family val="1"/>
    </font>
    <font>
      <sz val="8"/>
      <name val="Helv"/>
    </font>
    <font>
      <sz val="13.5"/>
      <name val="MS Sans Serif"/>
      <family val="2"/>
    </font>
    <font>
      <b/>
      <sz val="13.5"/>
      <name val="MS Sans Serif"/>
      <family val="2"/>
    </font>
    <font>
      <b/>
      <sz val="13.5"/>
      <name val="MS Sans Serif"/>
    </font>
    <font>
      <sz val="13.5"/>
      <color indexed="18"/>
      <name val="MS Sans Serif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indexed="48"/>
      <name val="Calibri"/>
      <family val="2"/>
    </font>
    <font>
      <sz val="10"/>
      <color indexed="21"/>
      <name val="Calibri"/>
      <family val="2"/>
    </font>
    <font>
      <sz val="10"/>
      <color indexed="21"/>
      <name val="Calibri"/>
      <family val="2"/>
      <scheme val="minor"/>
    </font>
    <font>
      <sz val="10"/>
      <color indexed="48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6" fillId="0" borderId="0"/>
    <xf numFmtId="166" fontId="6" fillId="0" borderId="0"/>
    <xf numFmtId="166" fontId="6" fillId="0" borderId="0"/>
  </cellStyleXfs>
  <cellXfs count="262">
    <xf numFmtId="0" fontId="0" fillId="0" borderId="0" xfId="0"/>
    <xf numFmtId="40" fontId="0" fillId="0" borderId="0" xfId="0" applyNumberFormat="1" applyAlignment="1">
      <alignment horizontal="center"/>
    </xf>
    <xf numFmtId="40" fontId="0" fillId="0" borderId="0" xfId="0" applyNumberFormat="1"/>
    <xf numFmtId="40" fontId="0" fillId="0" borderId="1" xfId="0" applyNumberFormat="1" applyBorder="1"/>
    <xf numFmtId="40" fontId="0" fillId="0" borderId="2" xfId="0" applyNumberFormat="1" applyBorder="1"/>
    <xf numFmtId="40" fontId="0" fillId="0" borderId="0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40" fontId="0" fillId="0" borderId="10" xfId="0" applyNumberFormat="1" applyBorder="1"/>
    <xf numFmtId="40" fontId="3" fillId="0" borderId="0" xfId="0" applyNumberFormat="1" applyFont="1"/>
    <xf numFmtId="40" fontId="4" fillId="0" borderId="0" xfId="0" applyNumberFormat="1" applyFont="1"/>
    <xf numFmtId="40" fontId="4" fillId="0" borderId="10" xfId="0" applyNumberFormat="1" applyFont="1" applyBorder="1"/>
    <xf numFmtId="3" fontId="0" fillId="0" borderId="0" xfId="0" applyNumberFormat="1"/>
    <xf numFmtId="3" fontId="0" fillId="0" borderId="2" xfId="0" applyNumberFormat="1" applyBorder="1"/>
    <xf numFmtId="4" fontId="0" fillId="0" borderId="0" xfId="0" applyNumberFormat="1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3" fontId="0" fillId="0" borderId="0" xfId="0" applyNumberFormat="1" applyBorder="1"/>
    <xf numFmtId="166" fontId="7" fillId="0" borderId="0" xfId="2" applyFont="1"/>
    <xf numFmtId="166" fontId="8" fillId="0" borderId="0" xfId="2" applyFont="1" applyAlignment="1">
      <alignment horizontal="centerContinuous"/>
    </xf>
    <xf numFmtId="166" fontId="6" fillId="0" borderId="0" xfId="2"/>
    <xf numFmtId="166" fontId="7" fillId="0" borderId="0" xfId="2" applyFont="1" applyAlignment="1">
      <alignment horizontal="centerContinuous"/>
    </xf>
    <xf numFmtId="166" fontId="8" fillId="0" borderId="0" xfId="2" applyFont="1"/>
    <xf numFmtId="166" fontId="8" fillId="0" borderId="0" xfId="2" applyFont="1" applyAlignment="1">
      <alignment horizontal="center"/>
    </xf>
    <xf numFmtId="166" fontId="9" fillId="0" borderId="0" xfId="2" applyFont="1"/>
    <xf numFmtId="3" fontId="7" fillId="0" borderId="0" xfId="2" applyNumberFormat="1" applyFont="1"/>
    <xf numFmtId="166" fontId="8" fillId="0" borderId="0" xfId="2" applyFont="1" applyBorder="1" applyAlignment="1">
      <alignment horizontal="centerContinuous"/>
    </xf>
    <xf numFmtId="166" fontId="7" fillId="0" borderId="0" xfId="2" applyFont="1" applyBorder="1" applyAlignment="1">
      <alignment horizontal="centerContinuous"/>
    </xf>
    <xf numFmtId="166" fontId="9" fillId="0" borderId="26" xfId="2" applyFont="1" applyBorder="1" applyAlignment="1">
      <alignment horizontal="right"/>
    </xf>
    <xf numFmtId="166" fontId="8" fillId="0" borderId="26" xfId="2" applyFont="1" applyBorder="1" applyAlignment="1">
      <alignment horizontal="center"/>
    </xf>
    <xf numFmtId="166" fontId="8" fillId="0" borderId="27" xfId="2" applyFont="1" applyBorder="1" applyAlignment="1">
      <alignment horizontal="centerContinuous"/>
    </xf>
    <xf numFmtId="166" fontId="8" fillId="0" borderId="28" xfId="2" applyFont="1" applyBorder="1" applyAlignment="1">
      <alignment horizontal="centerContinuous"/>
    </xf>
    <xf numFmtId="166" fontId="7" fillId="0" borderId="28" xfId="2" applyFont="1" applyBorder="1" applyAlignment="1">
      <alignment horizontal="centerContinuous"/>
    </xf>
    <xf numFmtId="166" fontId="7" fillId="0" borderId="29" xfId="2" applyFont="1" applyBorder="1" applyAlignment="1">
      <alignment horizontal="centerContinuous"/>
    </xf>
    <xf numFmtId="166" fontId="7" fillId="0" borderId="30" xfId="2" applyFont="1" applyBorder="1" applyAlignment="1">
      <alignment horizontal="centerContinuous"/>
    </xf>
    <xf numFmtId="166" fontId="7" fillId="0" borderId="31" xfId="2" applyFont="1" applyBorder="1" applyAlignment="1">
      <alignment horizontal="centerContinuous"/>
    </xf>
    <xf numFmtId="166" fontId="7" fillId="0" borderId="32" xfId="2" applyFont="1" applyBorder="1"/>
    <xf numFmtId="166" fontId="10" fillId="0" borderId="33" xfId="2" applyFont="1" applyBorder="1" applyAlignment="1" applyProtection="1">
      <alignment horizontal="left"/>
      <protection locked="0"/>
    </xf>
    <xf numFmtId="37" fontId="8" fillId="0" borderId="33" xfId="2" applyNumberFormat="1" applyFont="1" applyBorder="1" applyAlignment="1">
      <alignment horizontal="center"/>
    </xf>
    <xf numFmtId="37" fontId="8" fillId="0" borderId="34" xfId="2" applyNumberFormat="1" applyFont="1" applyBorder="1" applyAlignment="1">
      <alignment horizontal="center"/>
    </xf>
    <xf numFmtId="37" fontId="8" fillId="0" borderId="32" xfId="2" applyNumberFormat="1" applyFont="1" applyBorder="1" applyAlignment="1">
      <alignment horizontal="center"/>
    </xf>
    <xf numFmtId="166" fontId="7" fillId="0" borderId="35" xfId="2" applyFont="1" applyBorder="1"/>
    <xf numFmtId="166" fontId="10" fillId="0" borderId="36" xfId="2" applyFont="1" applyBorder="1" applyAlignment="1" applyProtection="1">
      <alignment horizontal="left"/>
      <protection locked="0"/>
    </xf>
    <xf numFmtId="37" fontId="8" fillId="0" borderId="36" xfId="2" applyNumberFormat="1" applyFont="1" applyBorder="1" applyAlignment="1">
      <alignment horizontal="center"/>
    </xf>
    <xf numFmtId="37" fontId="8" fillId="0" borderId="37" xfId="2" applyNumberFormat="1" applyFont="1" applyBorder="1" applyAlignment="1">
      <alignment horizontal="center"/>
    </xf>
    <xf numFmtId="37" fontId="8" fillId="0" borderId="35" xfId="2" applyNumberFormat="1" applyFont="1" applyBorder="1" applyAlignment="1">
      <alignment horizontal="center"/>
    </xf>
    <xf numFmtId="166" fontId="7" fillId="0" borderId="29" xfId="2" applyFont="1" applyBorder="1"/>
    <xf numFmtId="166" fontId="8" fillId="0" borderId="38" xfId="2" applyFont="1" applyBorder="1"/>
    <xf numFmtId="37" fontId="8" fillId="0" borderId="39" xfId="2" applyNumberFormat="1" applyFont="1" applyBorder="1" applyAlignment="1">
      <alignment horizontal="center"/>
    </xf>
    <xf numFmtId="37" fontId="8" fillId="0" borderId="38" xfId="2" applyNumberFormat="1" applyFont="1" applyBorder="1" applyAlignment="1">
      <alignment horizontal="center"/>
    </xf>
    <xf numFmtId="166" fontId="11" fillId="0" borderId="0" xfId="2" applyFont="1" applyBorder="1"/>
    <xf numFmtId="37" fontId="11" fillId="0" borderId="0" xfId="2" applyNumberFormat="1" applyFont="1" applyBorder="1" applyAlignment="1">
      <alignment horizontal="center"/>
    </xf>
    <xf numFmtId="166" fontId="6" fillId="0" borderId="0" xfId="2" applyBorder="1"/>
    <xf numFmtId="166" fontId="12" fillId="0" borderId="0" xfId="1" applyFont="1" applyAlignment="1">
      <alignment horizontal="centerContinuous"/>
    </xf>
    <xf numFmtId="166" fontId="12" fillId="0" borderId="13" xfId="1" applyFont="1" applyBorder="1"/>
    <xf numFmtId="166" fontId="13" fillId="0" borderId="0" xfId="1" applyFont="1"/>
    <xf numFmtId="166" fontId="12" fillId="0" borderId="0" xfId="1" applyFont="1"/>
    <xf numFmtId="166" fontId="12" fillId="0" borderId="3" xfId="1" applyFont="1" applyBorder="1"/>
    <xf numFmtId="166" fontId="12" fillId="0" borderId="13" xfId="1" applyFont="1" applyBorder="1" applyAlignment="1">
      <alignment horizontal="centerContinuous"/>
    </xf>
    <xf numFmtId="166" fontId="13" fillId="0" borderId="15" xfId="1" applyFont="1" applyBorder="1"/>
    <xf numFmtId="166" fontId="13" fillId="0" borderId="21" xfId="1" applyFont="1" applyBorder="1" applyAlignment="1" applyProtection="1">
      <alignment horizontal="center"/>
    </xf>
    <xf numFmtId="166" fontId="13" fillId="0" borderId="13" xfId="1" applyFont="1" applyBorder="1"/>
    <xf numFmtId="166" fontId="13" fillId="0" borderId="12" xfId="1" applyFont="1" applyBorder="1" applyAlignment="1" applyProtection="1">
      <alignment horizontal="left"/>
    </xf>
    <xf numFmtId="166" fontId="13" fillId="0" borderId="12" xfId="1" applyFont="1" applyBorder="1" applyAlignment="1" applyProtection="1">
      <alignment horizontal="center"/>
    </xf>
    <xf numFmtId="166" fontId="13" fillId="0" borderId="21" xfId="1" applyFont="1" applyBorder="1" applyAlignment="1" applyProtection="1">
      <alignment horizontal="left"/>
    </xf>
    <xf numFmtId="166" fontId="13" fillId="0" borderId="12" xfId="1" applyFont="1" applyBorder="1"/>
    <xf numFmtId="166" fontId="13" fillId="0" borderId="15" xfId="1" applyFont="1" applyBorder="1" applyAlignment="1" applyProtection="1">
      <alignment horizontal="left"/>
    </xf>
    <xf numFmtId="166" fontId="13" fillId="0" borderId="15" xfId="1" applyFont="1" applyBorder="1" applyAlignment="1" applyProtection="1">
      <alignment horizontal="center"/>
    </xf>
    <xf numFmtId="166" fontId="13" fillId="0" borderId="22" xfId="1" applyFont="1" applyBorder="1" applyAlignment="1" applyProtection="1">
      <alignment horizontal="left"/>
    </xf>
    <xf numFmtId="167" fontId="13" fillId="0" borderId="12" xfId="1" applyNumberFormat="1" applyFont="1" applyBorder="1" applyAlignment="1" applyProtection="1">
      <alignment horizontal="center"/>
      <protection locked="0"/>
    </xf>
    <xf numFmtId="166" fontId="15" fillId="0" borderId="12" xfId="1" applyFont="1" applyBorder="1" applyAlignment="1" applyProtection="1">
      <alignment horizontal="left"/>
      <protection locked="0"/>
    </xf>
    <xf numFmtId="166" fontId="15" fillId="0" borderId="15" xfId="1" applyFont="1" applyBorder="1" applyAlignment="1" applyProtection="1">
      <alignment horizontal="left"/>
      <protection locked="0"/>
    </xf>
    <xf numFmtId="167" fontId="15" fillId="0" borderId="12" xfId="1" applyNumberFormat="1" applyFont="1" applyBorder="1" applyProtection="1">
      <protection locked="0"/>
    </xf>
    <xf numFmtId="167" fontId="13" fillId="0" borderId="21" xfId="1" applyNumberFormat="1" applyFont="1" applyBorder="1" applyProtection="1"/>
    <xf numFmtId="168" fontId="15" fillId="0" borderId="12" xfId="1" applyNumberFormat="1" applyFont="1" applyBorder="1" applyProtection="1">
      <protection locked="0"/>
    </xf>
    <xf numFmtId="169" fontId="13" fillId="0" borderId="12" xfId="1" applyNumberFormat="1" applyFont="1" applyBorder="1" applyProtection="1"/>
    <xf numFmtId="37" fontId="15" fillId="0" borderId="12" xfId="1" applyNumberFormat="1" applyFont="1" applyBorder="1" applyProtection="1">
      <protection locked="0"/>
    </xf>
    <xf numFmtId="164" fontId="13" fillId="0" borderId="21" xfId="1" applyNumberFormat="1" applyFont="1" applyBorder="1" applyProtection="1"/>
    <xf numFmtId="167" fontId="15" fillId="0" borderId="21" xfId="1" applyNumberFormat="1" applyFont="1" applyBorder="1" applyProtection="1">
      <protection locked="0"/>
    </xf>
    <xf numFmtId="168" fontId="13" fillId="0" borderId="21" xfId="1" applyNumberFormat="1" applyFont="1" applyBorder="1" applyProtection="1"/>
    <xf numFmtId="167" fontId="13" fillId="0" borderId="15" xfId="1" applyNumberFormat="1" applyFont="1" applyBorder="1" applyAlignment="1" applyProtection="1">
      <alignment horizontal="center"/>
      <protection locked="0"/>
    </xf>
    <xf numFmtId="167" fontId="15" fillId="0" borderId="15" xfId="1" applyNumberFormat="1" applyFont="1" applyBorder="1" applyProtection="1">
      <protection locked="0"/>
    </xf>
    <xf numFmtId="167" fontId="13" fillId="0" borderId="22" xfId="1" applyNumberFormat="1" applyFont="1" applyBorder="1" applyProtection="1"/>
    <xf numFmtId="168" fontId="15" fillId="0" borderId="15" xfId="1" applyNumberFormat="1" applyFont="1" applyBorder="1" applyProtection="1">
      <protection locked="0"/>
    </xf>
    <xf numFmtId="169" fontId="13" fillId="0" borderId="15" xfId="1" applyNumberFormat="1" applyFont="1" applyBorder="1" applyProtection="1"/>
    <xf numFmtId="37" fontId="15" fillId="0" borderId="15" xfId="1" applyNumberFormat="1" applyFont="1" applyBorder="1" applyProtection="1">
      <protection locked="0"/>
    </xf>
    <xf numFmtId="164" fontId="13" fillId="0" borderId="22" xfId="1" applyNumberFormat="1" applyFont="1" applyBorder="1" applyProtection="1"/>
    <xf numFmtId="167" fontId="15" fillId="0" borderId="22" xfId="1" applyNumberFormat="1" applyFont="1" applyBorder="1" applyProtection="1">
      <protection locked="0"/>
    </xf>
    <xf numFmtId="168" fontId="13" fillId="0" borderId="22" xfId="1" applyNumberFormat="1" applyFont="1" applyBorder="1" applyProtection="1"/>
    <xf numFmtId="167" fontId="15" fillId="0" borderId="15" xfId="1" applyNumberFormat="1" applyFont="1" applyBorder="1" applyAlignment="1" applyProtection="1">
      <alignment horizontal="center"/>
      <protection locked="0"/>
    </xf>
    <xf numFmtId="167" fontId="13" fillId="0" borderId="23" xfId="1" applyNumberFormat="1" applyFont="1" applyBorder="1" applyProtection="1"/>
    <xf numFmtId="3" fontId="13" fillId="0" borderId="23" xfId="1" applyNumberFormat="1" applyFont="1" applyBorder="1" applyProtection="1"/>
    <xf numFmtId="164" fontId="13" fillId="0" borderId="23" xfId="1" applyNumberFormat="1" applyFont="1" applyBorder="1" applyProtection="1"/>
    <xf numFmtId="168" fontId="13" fillId="0" borderId="23" xfId="1" applyNumberFormat="1" applyFont="1" applyBorder="1" applyProtection="1"/>
    <xf numFmtId="166" fontId="12" fillId="0" borderId="24" xfId="1" applyFont="1" applyBorder="1" applyAlignment="1" applyProtection="1">
      <alignment horizontal="left"/>
    </xf>
    <xf numFmtId="166" fontId="12" fillId="0" borderId="24" xfId="1" applyFont="1" applyBorder="1"/>
    <xf numFmtId="167" fontId="12" fillId="0" borderId="25" xfId="1" applyNumberFormat="1" applyFont="1" applyBorder="1" applyProtection="1"/>
    <xf numFmtId="166" fontId="12" fillId="0" borderId="19" xfId="1" applyFont="1" applyBorder="1"/>
    <xf numFmtId="166" fontId="13" fillId="0" borderId="24" xfId="1" applyFont="1" applyBorder="1"/>
    <xf numFmtId="167" fontId="13" fillId="0" borderId="19" xfId="1" applyNumberFormat="1" applyFont="1" applyBorder="1" applyProtection="1"/>
    <xf numFmtId="167" fontId="12" fillId="0" borderId="24" xfId="1" applyNumberFormat="1" applyFont="1" applyBorder="1" applyProtection="1"/>
    <xf numFmtId="167" fontId="12" fillId="0" borderId="20" xfId="1" applyNumberFormat="1" applyFont="1" applyBorder="1" applyProtection="1"/>
    <xf numFmtId="166" fontId="12" fillId="0" borderId="20" xfId="1" applyFont="1" applyBorder="1"/>
    <xf numFmtId="168" fontId="12" fillId="0" borderId="24" xfId="1" applyNumberFormat="1" applyFont="1" applyBorder="1" applyProtection="1"/>
    <xf numFmtId="167" fontId="13" fillId="0" borderId="24" xfId="1" applyNumberFormat="1" applyFont="1" applyBorder="1" applyProtection="1"/>
    <xf numFmtId="166" fontId="12" fillId="0" borderId="25" xfId="1" applyFont="1" applyBorder="1"/>
    <xf numFmtId="166" fontId="12" fillId="0" borderId="24" xfId="1" applyFont="1" applyBorder="1" applyProtection="1"/>
    <xf numFmtId="166" fontId="13" fillId="0" borderId="0" xfId="1" applyFont="1" applyBorder="1"/>
    <xf numFmtId="166" fontId="13" fillId="0" borderId="0" xfId="1" applyFont="1" applyAlignment="1">
      <alignment horizontal="centerContinuous"/>
    </xf>
    <xf numFmtId="166" fontId="12" fillId="0" borderId="20" xfId="1" applyFont="1" applyBorder="1" applyAlignment="1">
      <alignment horizontal="centerContinuous"/>
    </xf>
    <xf numFmtId="166" fontId="12" fillId="0" borderId="24" xfId="1" applyFont="1" applyBorder="1" applyAlignment="1">
      <alignment horizontal="centerContinuous"/>
    </xf>
    <xf numFmtId="166" fontId="13" fillId="0" borderId="24" xfId="1" applyFont="1" applyBorder="1" applyAlignment="1">
      <alignment horizontal="centerContinuous"/>
    </xf>
    <xf numFmtId="166" fontId="13" fillId="0" borderId="19" xfId="1" applyFont="1" applyBorder="1" applyAlignment="1">
      <alignment horizontal="centerContinuous"/>
    </xf>
    <xf numFmtId="166" fontId="13" fillId="0" borderId="13" xfId="1" quotePrefix="1" applyFont="1" applyBorder="1" applyAlignment="1">
      <alignment horizontal="center"/>
    </xf>
    <xf numFmtId="166" fontId="13" fillId="0" borderId="13" xfId="1" applyFont="1" applyBorder="1" applyAlignment="1">
      <alignment horizontal="center"/>
    </xf>
    <xf numFmtId="166" fontId="13" fillId="0" borderId="13" xfId="1" quotePrefix="1" applyFont="1" applyBorder="1" applyAlignment="1">
      <alignment horizontal="left"/>
    </xf>
    <xf numFmtId="166" fontId="13" fillId="0" borderId="15" xfId="1" applyFont="1" applyBorder="1" applyAlignment="1">
      <alignment horizontal="centerContinuous"/>
    </xf>
    <xf numFmtId="166" fontId="13" fillId="0" borderId="16" xfId="1" applyFont="1" applyBorder="1" applyAlignment="1">
      <alignment horizontal="centerContinuous"/>
    </xf>
    <xf numFmtId="166" fontId="13" fillId="0" borderId="0" xfId="1" applyFont="1" applyBorder="1" applyAlignment="1">
      <alignment horizontal="center"/>
    </xf>
    <xf numFmtId="166" fontId="13" fillId="0" borderId="0" xfId="1" applyFont="1" applyBorder="1" applyAlignment="1">
      <alignment horizontal="centerContinuous"/>
    </xf>
    <xf numFmtId="166" fontId="13" fillId="0" borderId="0" xfId="1" quotePrefix="1" applyFont="1" applyBorder="1" applyAlignment="1">
      <alignment horizontal="left"/>
    </xf>
    <xf numFmtId="166" fontId="13" fillId="0" borderId="17" xfId="1" applyFont="1" applyBorder="1" applyAlignment="1">
      <alignment horizontal="center"/>
    </xf>
    <xf numFmtId="166" fontId="13" fillId="0" borderId="3" xfId="1" applyFont="1" applyBorder="1" applyAlignment="1">
      <alignment horizontal="center"/>
    </xf>
    <xf numFmtId="3" fontId="13" fillId="0" borderId="3" xfId="1" applyNumberFormat="1" applyFont="1" applyBorder="1" applyAlignment="1">
      <alignment horizontal="center"/>
    </xf>
    <xf numFmtId="164" fontId="13" fillId="0" borderId="3" xfId="1" applyNumberFormat="1" applyFont="1" applyBorder="1" applyAlignment="1">
      <alignment horizontal="left"/>
    </xf>
    <xf numFmtId="3" fontId="13" fillId="0" borderId="17" xfId="1" applyNumberFormat="1" applyFont="1" applyBorder="1" applyAlignment="1">
      <alignment horizontal="centerContinuous"/>
    </xf>
    <xf numFmtId="166" fontId="13" fillId="0" borderId="18" xfId="1" applyFont="1" applyBorder="1" applyAlignment="1">
      <alignment horizontal="centerContinuous"/>
    </xf>
    <xf numFmtId="166" fontId="13" fillId="0" borderId="0" xfId="1" applyFont="1" applyAlignment="1">
      <alignment horizontal="center"/>
    </xf>
    <xf numFmtId="166" fontId="13" fillId="0" borderId="0" xfId="1" applyFont="1" applyBorder="1" applyAlignment="1">
      <alignment horizontal="left"/>
    </xf>
    <xf numFmtId="166" fontId="13" fillId="0" borderId="3" xfId="1" applyFont="1" applyBorder="1"/>
    <xf numFmtId="166" fontId="13" fillId="0" borderId="17" xfId="1" applyFont="1" applyBorder="1" applyAlignment="1">
      <alignment horizontal="centerContinuous"/>
    </xf>
    <xf numFmtId="170" fontId="13" fillId="0" borderId="0" xfId="1" applyNumberFormat="1" applyFont="1" applyAlignment="1" applyProtection="1">
      <alignment horizontal="left"/>
    </xf>
    <xf numFmtId="170" fontId="13" fillId="0" borderId="0" xfId="1" applyNumberFormat="1" applyFont="1" applyProtection="1"/>
    <xf numFmtId="170" fontId="13" fillId="0" borderId="0" xfId="1" applyNumberFormat="1" applyFont="1" applyAlignment="1" applyProtection="1">
      <alignment horizontal="center"/>
    </xf>
    <xf numFmtId="0" fontId="16" fillId="0" borderId="0" xfId="0" applyFont="1"/>
    <xf numFmtId="40" fontId="16" fillId="0" borderId="0" xfId="0" applyNumberFormat="1" applyFont="1"/>
    <xf numFmtId="40" fontId="16" fillId="0" borderId="7" xfId="0" applyNumberFormat="1" applyFont="1" applyBorder="1"/>
    <xf numFmtId="40" fontId="16" fillId="0" borderId="8" xfId="0" applyNumberFormat="1" applyFont="1" applyBorder="1"/>
    <xf numFmtId="40" fontId="16" fillId="0" borderId="9" xfId="0" applyNumberFormat="1" applyFont="1" applyBorder="1"/>
    <xf numFmtId="40" fontId="16" fillId="0" borderId="10" xfId="0" applyNumberFormat="1" applyFont="1" applyBorder="1"/>
    <xf numFmtId="40" fontId="16" fillId="0" borderId="0" xfId="0" applyNumberFormat="1" applyFont="1" applyBorder="1"/>
    <xf numFmtId="40" fontId="16" fillId="0" borderId="11" xfId="0" applyNumberFormat="1" applyFont="1" applyBorder="1"/>
    <xf numFmtId="40" fontId="16" fillId="0" borderId="3" xfId="0" applyNumberFormat="1" applyFont="1" applyBorder="1"/>
    <xf numFmtId="40" fontId="16" fillId="0" borderId="4" xfId="0" applyNumberFormat="1" applyFont="1" applyBorder="1"/>
    <xf numFmtId="40" fontId="16" fillId="0" borderId="5" xfId="0" applyNumberFormat="1" applyFont="1" applyBorder="1"/>
    <xf numFmtId="40" fontId="16" fillId="0" borderId="6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0" fontId="16" fillId="0" borderId="0" xfId="0" applyNumberFormat="1" applyFont="1" applyAlignment="1">
      <alignment horizontal="center"/>
    </xf>
    <xf numFmtId="40" fontId="16" fillId="0" borderId="0" xfId="0" applyNumberFormat="1" applyFont="1" applyAlignment="1">
      <alignment horizontal="left"/>
    </xf>
    <xf numFmtId="40" fontId="18" fillId="0" borderId="0" xfId="0" applyNumberFormat="1" applyFont="1"/>
    <xf numFmtId="40" fontId="16" fillId="0" borderId="2" xfId="0" applyNumberFormat="1" applyFont="1" applyBorder="1"/>
    <xf numFmtId="40" fontId="19" fillId="0" borderId="0" xfId="0" applyNumberFormat="1" applyFont="1"/>
    <xf numFmtId="40" fontId="16" fillId="0" borderId="1" xfId="0" applyNumberFormat="1" applyFont="1" applyBorder="1"/>
    <xf numFmtId="0" fontId="12" fillId="0" borderId="0" xfId="0" applyFont="1" applyAlignment="1">
      <alignment horizontal="center"/>
    </xf>
    <xf numFmtId="0" fontId="13" fillId="0" borderId="0" xfId="0" applyFont="1"/>
    <xf numFmtId="40" fontId="13" fillId="0" borderId="0" xfId="0" applyNumberFormat="1" applyFont="1"/>
    <xf numFmtId="40" fontId="13" fillId="0" borderId="0" xfId="0" applyNumberFormat="1" applyFont="1" applyAlignment="1">
      <alignment horizontal="center"/>
    </xf>
    <xf numFmtId="40" fontId="20" fillId="0" borderId="0" xfId="0" applyNumberFormat="1" applyFont="1" applyAlignment="1">
      <alignment horizontal="left"/>
    </xf>
    <xf numFmtId="40" fontId="20" fillId="0" borderId="0" xfId="0" applyNumberFormat="1" applyFont="1"/>
    <xf numFmtId="40" fontId="13" fillId="0" borderId="0" xfId="0" applyNumberFormat="1" applyFont="1" applyAlignment="1">
      <alignment horizontal="left"/>
    </xf>
    <xf numFmtId="40" fontId="13" fillId="0" borderId="2" xfId="0" applyNumberFormat="1" applyFont="1" applyBorder="1" applyAlignment="1">
      <alignment horizontal="left"/>
    </xf>
    <xf numFmtId="40" fontId="13" fillId="0" borderId="2" xfId="0" applyNumberFormat="1" applyFont="1" applyBorder="1"/>
    <xf numFmtId="40" fontId="21" fillId="0" borderId="0" xfId="0" applyNumberFormat="1" applyFont="1"/>
    <xf numFmtId="40" fontId="22" fillId="0" borderId="0" xfId="0" applyNumberFormat="1" applyFont="1"/>
    <xf numFmtId="40" fontId="13" fillId="0" borderId="1" xfId="0" applyNumberFormat="1" applyFont="1" applyBorder="1"/>
    <xf numFmtId="0" fontId="5" fillId="0" borderId="0" xfId="0" applyFont="1"/>
    <xf numFmtId="40" fontId="12" fillId="0" borderId="0" xfId="0" applyNumberFormat="1" applyFont="1"/>
    <xf numFmtId="10" fontId="13" fillId="0" borderId="2" xfId="0" applyNumberFormat="1" applyFont="1" applyBorder="1"/>
    <xf numFmtId="10" fontId="13" fillId="0" borderId="0" xfId="0" applyNumberFormat="1" applyFont="1"/>
    <xf numFmtId="0" fontId="12" fillId="0" borderId="0" xfId="0" applyFont="1"/>
    <xf numFmtId="166" fontId="13" fillId="2" borderId="12" xfId="1" applyFont="1" applyFill="1" applyBorder="1" applyAlignment="1" applyProtection="1">
      <alignment horizontal="left"/>
    </xf>
    <xf numFmtId="166" fontId="13" fillId="2" borderId="15" xfId="1" applyFont="1" applyFill="1" applyBorder="1" applyAlignment="1" applyProtection="1">
      <alignment horizontal="left"/>
    </xf>
    <xf numFmtId="167" fontId="13" fillId="2" borderId="15" xfId="1" applyNumberFormat="1" applyFont="1" applyFill="1" applyBorder="1" applyProtection="1"/>
    <xf numFmtId="166" fontId="12" fillId="3" borderId="12" xfId="1" applyFont="1" applyFill="1" applyBorder="1" applyAlignment="1" applyProtection="1">
      <alignment horizontal="left"/>
    </xf>
    <xf numFmtId="166" fontId="12" fillId="3" borderId="13" xfId="1" applyFont="1" applyFill="1" applyBorder="1"/>
    <xf numFmtId="166" fontId="12" fillId="3" borderId="15" xfId="1" applyFont="1" applyFill="1" applyBorder="1" applyProtection="1">
      <protection locked="0"/>
    </xf>
    <xf numFmtId="166" fontId="14" fillId="3" borderId="0" xfId="1" applyFont="1" applyFill="1"/>
    <xf numFmtId="166" fontId="12" fillId="3" borderId="0" xfId="1" applyFont="1" applyFill="1"/>
    <xf numFmtId="166" fontId="12" fillId="3" borderId="15" xfId="1" applyFont="1" applyFill="1" applyBorder="1" applyAlignment="1" applyProtection="1">
      <alignment horizontal="left"/>
    </xf>
    <xf numFmtId="166" fontId="14" fillId="3" borderId="0" xfId="1" applyFont="1" applyFill="1" applyProtection="1">
      <protection locked="0"/>
    </xf>
    <xf numFmtId="166" fontId="13" fillId="3" borderId="15" xfId="1" applyFont="1" applyFill="1" applyBorder="1"/>
    <xf numFmtId="166" fontId="13" fillId="3" borderId="0" xfId="1" applyFont="1" applyFill="1"/>
    <xf numFmtId="166" fontId="12" fillId="4" borderId="12" xfId="1" applyFont="1" applyFill="1" applyBorder="1"/>
    <xf numFmtId="166" fontId="12" fillId="4" borderId="13" xfId="1" applyFont="1" applyFill="1" applyBorder="1"/>
    <xf numFmtId="167" fontId="12" fillId="4" borderId="13" xfId="1" applyNumberFormat="1" applyFont="1" applyFill="1" applyBorder="1" applyAlignment="1" applyProtection="1">
      <alignment horizontal="center"/>
      <protection locked="0"/>
    </xf>
    <xf numFmtId="167" fontId="12" fillId="4" borderId="13" xfId="1" applyNumberFormat="1" applyFont="1" applyFill="1" applyBorder="1" applyProtection="1">
      <protection locked="0"/>
    </xf>
    <xf numFmtId="166" fontId="12" fillId="4" borderId="15" xfId="1" applyFont="1" applyFill="1" applyBorder="1"/>
    <xf numFmtId="166" fontId="12" fillId="4" borderId="0" xfId="1" applyFont="1" applyFill="1"/>
    <xf numFmtId="3" fontId="14" fillId="4" borderId="0" xfId="1" applyNumberFormat="1" applyFont="1" applyFill="1" applyAlignment="1" applyProtection="1">
      <alignment horizontal="center"/>
      <protection locked="0"/>
    </xf>
    <xf numFmtId="166" fontId="12" fillId="4" borderId="17" xfId="1" applyFont="1" applyFill="1" applyBorder="1"/>
    <xf numFmtId="166" fontId="12" fillId="4" borderId="3" xfId="1" applyFont="1" applyFill="1" applyBorder="1"/>
    <xf numFmtId="167" fontId="12" fillId="4" borderId="3" xfId="1" applyNumberFormat="1" applyFont="1" applyFill="1" applyBorder="1" applyProtection="1"/>
    <xf numFmtId="167" fontId="12" fillId="4" borderId="15" xfId="1" applyNumberFormat="1" applyFont="1" applyFill="1" applyBorder="1" applyAlignment="1" applyProtection="1">
      <alignment horizontal="centerContinuous"/>
      <protection locked="0"/>
    </xf>
    <xf numFmtId="3" fontId="14" fillId="4" borderId="0" xfId="1" applyNumberFormat="1" applyFont="1" applyFill="1" applyProtection="1">
      <protection locked="0"/>
    </xf>
    <xf numFmtId="166" fontId="12" fillId="4" borderId="0" xfId="1" applyFont="1" applyFill="1" applyAlignment="1" applyProtection="1">
      <alignment horizontal="center"/>
      <protection locked="0"/>
    </xf>
    <xf numFmtId="166" fontId="14" fillId="4" borderId="0" xfId="1" applyFont="1" applyFill="1" applyProtection="1">
      <protection locked="0"/>
    </xf>
    <xf numFmtId="166" fontId="12" fillId="4" borderId="0" xfId="1" applyFont="1" applyFill="1" applyAlignment="1" applyProtection="1">
      <alignment horizontal="left"/>
    </xf>
    <xf numFmtId="166" fontId="12" fillId="4" borderId="12" xfId="1" quotePrefix="1" applyFont="1" applyFill="1" applyBorder="1" applyAlignment="1" applyProtection="1">
      <alignment horizontal="centerContinuous"/>
    </xf>
    <xf numFmtId="166" fontId="12" fillId="4" borderId="13" xfId="1" applyFont="1" applyFill="1" applyBorder="1" applyAlignment="1" applyProtection="1">
      <alignment horizontal="left"/>
    </xf>
    <xf numFmtId="166" fontId="12" fillId="4" borderId="13" xfId="1" applyFont="1" applyFill="1" applyBorder="1" applyAlignment="1">
      <alignment horizontal="centerContinuous"/>
    </xf>
    <xf numFmtId="166" fontId="12" fillId="4" borderId="14" xfId="1" applyFont="1" applyFill="1" applyBorder="1"/>
    <xf numFmtId="166" fontId="12" fillId="4" borderId="15" xfId="1" applyFont="1" applyFill="1" applyBorder="1" applyAlignment="1" applyProtection="1">
      <alignment horizontal="left"/>
    </xf>
    <xf numFmtId="166" fontId="12" fillId="4" borderId="16" xfId="1" applyFont="1" applyFill="1" applyBorder="1"/>
    <xf numFmtId="3" fontId="12" fillId="4" borderId="3" xfId="1" applyNumberFormat="1" applyFont="1" applyFill="1" applyBorder="1" applyProtection="1"/>
    <xf numFmtId="166" fontId="12" fillId="4" borderId="18" xfId="1" applyFont="1" applyFill="1" applyBorder="1"/>
    <xf numFmtId="166" fontId="12" fillId="4" borderId="13" xfId="1" applyFont="1" applyFill="1" applyBorder="1" applyAlignment="1" applyProtection="1">
      <alignment horizontal="center"/>
    </xf>
    <xf numFmtId="166" fontId="12" fillId="4" borderId="12" xfId="1" applyFont="1" applyFill="1" applyBorder="1" applyAlignment="1" applyProtection="1">
      <alignment horizontal="centerContinuous"/>
    </xf>
    <xf numFmtId="166" fontId="12" fillId="4" borderId="13" xfId="1" applyFont="1" applyFill="1" applyBorder="1" applyAlignment="1" applyProtection="1">
      <alignment horizontal="centerContinuous"/>
    </xf>
    <xf numFmtId="166" fontId="12" fillId="4" borderId="13" xfId="1" quotePrefix="1" applyFont="1" applyFill="1" applyBorder="1" applyAlignment="1">
      <alignment horizontal="centerContinuous"/>
    </xf>
    <xf numFmtId="166" fontId="12" fillId="4" borderId="14" xfId="1" applyFont="1" applyFill="1" applyBorder="1" applyAlignment="1">
      <alignment horizontal="centerContinuous"/>
    </xf>
    <xf numFmtId="166" fontId="12" fillId="4" borderId="19" xfId="1" applyFont="1" applyFill="1" applyBorder="1" applyAlignment="1">
      <alignment horizontal="centerContinuous"/>
    </xf>
    <xf numFmtId="166" fontId="12" fillId="4" borderId="14" xfId="1" applyFont="1" applyFill="1" applyBorder="1" applyAlignment="1">
      <alignment horizontal="left"/>
    </xf>
    <xf numFmtId="166" fontId="12" fillId="4" borderId="20" xfId="1" applyFont="1" applyFill="1" applyBorder="1" applyAlignment="1" applyProtection="1">
      <alignment horizontal="centerContinuous"/>
    </xf>
    <xf numFmtId="3" fontId="12" fillId="4" borderId="13" xfId="1" applyNumberFormat="1" applyFont="1" applyFill="1" applyBorder="1" applyAlignment="1">
      <alignment horizontal="centerContinuous"/>
    </xf>
    <xf numFmtId="166" fontId="12" fillId="5" borderId="12" xfId="1" applyFont="1" applyFill="1" applyBorder="1"/>
    <xf numFmtId="166" fontId="12" fillId="5" borderId="13" xfId="1" applyFont="1" applyFill="1" applyBorder="1"/>
    <xf numFmtId="166" fontId="12" fillId="5" borderId="14" xfId="1" applyFont="1" applyFill="1" applyBorder="1"/>
    <xf numFmtId="166" fontId="12" fillId="5" borderId="15" xfId="1" applyFont="1" applyFill="1" applyBorder="1" applyAlignment="1" applyProtection="1">
      <alignment horizontal="left"/>
    </xf>
    <xf numFmtId="166" fontId="12" fillId="5" borderId="0" xfId="1" applyFont="1" applyFill="1"/>
    <xf numFmtId="166" fontId="12" fillId="5" borderId="0" xfId="1" applyFont="1" applyFill="1" applyAlignment="1" applyProtection="1">
      <alignment horizontal="left"/>
    </xf>
    <xf numFmtId="166" fontId="13" fillId="5" borderId="0" xfId="1" applyFont="1" applyFill="1"/>
    <xf numFmtId="166" fontId="12" fillId="5" borderId="16" xfId="1" applyFont="1" applyFill="1" applyBorder="1"/>
    <xf numFmtId="166" fontId="12" fillId="5" borderId="17" xfId="1" applyFont="1" applyFill="1" applyBorder="1"/>
    <xf numFmtId="166" fontId="12" fillId="5" borderId="3" xfId="1" applyFont="1" applyFill="1" applyBorder="1"/>
    <xf numFmtId="166" fontId="12" fillId="5" borderId="18" xfId="1" applyFont="1" applyFill="1" applyBorder="1"/>
    <xf numFmtId="166" fontId="12" fillId="5" borderId="15" xfId="1" applyFont="1" applyFill="1" applyBorder="1" applyAlignment="1" applyProtection="1">
      <alignment horizontal="centerContinuous"/>
    </xf>
    <xf numFmtId="166" fontId="12" fillId="5" borderId="0" xfId="1" applyFont="1" applyFill="1" applyAlignment="1">
      <alignment horizontal="centerContinuous"/>
    </xf>
    <xf numFmtId="167" fontId="12" fillId="5" borderId="0" xfId="1" applyNumberFormat="1" applyFont="1" applyFill="1" applyAlignment="1" applyProtection="1">
      <alignment horizontal="centerContinuous"/>
      <protection locked="0"/>
    </xf>
    <xf numFmtId="166" fontId="12" fillId="5" borderId="16" xfId="1" applyFont="1" applyFill="1" applyBorder="1" applyAlignment="1">
      <alignment horizontal="centerContinuous"/>
    </xf>
    <xf numFmtId="166" fontId="12" fillId="5" borderId="12" xfId="1" applyFont="1" applyFill="1" applyBorder="1" applyAlignment="1" applyProtection="1"/>
    <xf numFmtId="166" fontId="12" fillId="5" borderId="13" xfId="1" applyFont="1" applyFill="1" applyBorder="1" applyAlignment="1">
      <alignment horizontal="centerContinuous"/>
    </xf>
    <xf numFmtId="166" fontId="12" fillId="5" borderId="14" xfId="1" applyFont="1" applyFill="1" applyBorder="1" applyAlignment="1">
      <alignment horizontal="centerContinuous"/>
    </xf>
    <xf numFmtId="166" fontId="13" fillId="5" borderId="15" xfId="1" applyFont="1" applyFill="1" applyBorder="1"/>
    <xf numFmtId="166" fontId="13" fillId="5" borderId="16" xfId="1" applyFont="1" applyFill="1" applyBorder="1"/>
    <xf numFmtId="166" fontId="13" fillId="5" borderId="12" xfId="1" applyFont="1" applyFill="1" applyBorder="1" applyAlignment="1" applyProtection="1">
      <alignment horizontal="left"/>
    </xf>
    <xf numFmtId="166" fontId="13" fillId="5" borderId="13" xfId="1" applyFont="1" applyFill="1" applyBorder="1"/>
    <xf numFmtId="166" fontId="13" fillId="5" borderId="12" xfId="1" applyFont="1" applyFill="1" applyBorder="1" applyAlignment="1" applyProtection="1">
      <alignment horizontal="center"/>
    </xf>
    <xf numFmtId="166" fontId="13" fillId="5" borderId="14" xfId="1" applyFont="1" applyFill="1" applyBorder="1"/>
    <xf numFmtId="166" fontId="13" fillId="5" borderId="15" xfId="1" applyFont="1" applyFill="1" applyBorder="1" applyAlignment="1" applyProtection="1">
      <alignment horizontal="center"/>
    </xf>
    <xf numFmtId="166" fontId="13" fillId="5" borderId="3" xfId="1" applyFont="1" applyFill="1" applyBorder="1" applyAlignment="1" applyProtection="1">
      <alignment horizontal="left"/>
    </xf>
    <xf numFmtId="166" fontId="13" fillId="5" borderId="15" xfId="1" applyFont="1" applyFill="1" applyBorder="1" applyAlignment="1" applyProtection="1">
      <alignment horizontal="left"/>
    </xf>
    <xf numFmtId="166" fontId="13" fillId="5" borderId="22" xfId="1" applyFont="1" applyFill="1" applyBorder="1" applyAlignment="1" applyProtection="1">
      <alignment horizontal="left"/>
    </xf>
    <xf numFmtId="166" fontId="12" fillId="0" borderId="0" xfId="3" applyFont="1" applyAlignment="1">
      <alignment horizontal="center"/>
    </xf>
    <xf numFmtId="166" fontId="13" fillId="0" borderId="0" xfId="3" applyFont="1"/>
    <xf numFmtId="166" fontId="13" fillId="0" borderId="0" xfId="3" applyFont="1" applyAlignment="1">
      <alignment horizontal="center"/>
    </xf>
    <xf numFmtId="166" fontId="12" fillId="0" borderId="0" xfId="3" quotePrefix="1" applyFont="1" applyAlignment="1">
      <alignment horizontal="center"/>
    </xf>
    <xf numFmtId="166" fontId="13" fillId="0" borderId="25" xfId="3" applyFont="1" applyBorder="1" applyAlignment="1">
      <alignment horizontal="center"/>
    </xf>
    <xf numFmtId="2" fontId="13" fillId="0" borderId="25" xfId="3" applyNumberFormat="1" applyFont="1" applyBorder="1" applyAlignment="1">
      <alignment horizontal="center"/>
    </xf>
    <xf numFmtId="2" fontId="13" fillId="0" borderId="0" xfId="3" applyNumberFormat="1" applyFont="1" applyAlignment="1">
      <alignment horizontal="center"/>
    </xf>
    <xf numFmtId="1" fontId="13" fillId="0" borderId="0" xfId="3" applyNumberFormat="1" applyFont="1" applyAlignment="1">
      <alignment horizontal="center"/>
    </xf>
    <xf numFmtId="166" fontId="13" fillId="0" borderId="0" xfId="3" applyFont="1" applyBorder="1" applyAlignment="1">
      <alignment horizontal="center"/>
    </xf>
    <xf numFmtId="2" fontId="13" fillId="0" borderId="0" xfId="3" applyNumberFormat="1" applyFont="1" applyBorder="1" applyAlignment="1">
      <alignment horizontal="center"/>
    </xf>
    <xf numFmtId="1" fontId="13" fillId="0" borderId="38" xfId="3" applyNumberFormat="1" applyFont="1" applyBorder="1" applyAlignment="1">
      <alignment horizontal="center"/>
    </xf>
    <xf numFmtId="2" fontId="13" fillId="0" borderId="0" xfId="3" applyNumberFormat="1" applyFont="1" applyAlignment="1">
      <alignment horizontal="right"/>
    </xf>
    <xf numFmtId="4" fontId="13" fillId="0" borderId="0" xfId="3" applyNumberFormat="1" applyFont="1" applyAlignment="1">
      <alignment horizontal="right"/>
    </xf>
    <xf numFmtId="0" fontId="0" fillId="6" borderId="0" xfId="0" applyFill="1"/>
    <xf numFmtId="40" fontId="5" fillId="0" borderId="0" xfId="0" applyNumberFormat="1" applyFont="1" applyBorder="1"/>
  </cellXfs>
  <cellStyles count="4">
    <cellStyle name="Normal" xfId="0" builtinId="0"/>
    <cellStyle name="Normal_7)b37977" xfId="1" xr:uid="{00000000-0005-0000-0000-000001000000}"/>
    <cellStyle name="Normal_grafica" xfId="2" xr:uid="{00000000-0005-0000-0000-000002000000}"/>
    <cellStyle name="Normal_volumenes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Capacidad Instalada Vs. Requerida</a:t>
            </a:r>
          </a:p>
        </c:rich>
      </c:tx>
      <c:layout>
        <c:manualLayout>
          <c:xMode val="edge"/>
          <c:yMode val="edge"/>
          <c:x val="0.38751740633399667"/>
          <c:y val="2.6525216116400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4979782195606E-2"/>
          <c:y val="7.0291822708460294E-2"/>
          <c:w val="0.94307333399866444"/>
          <c:h val="0.86604830620046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grafica!$B$11</c:f>
              <c:strCache>
                <c:ptCount val="1"/>
                <c:pt idx="0">
                  <c:v>CAPACIDAD A 5300 HORAS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grafica!$C$5:$K$5</c:f>
              <c:numCache>
                <c:formatCode>General_)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grafica!$C$11:$L$11</c:f>
              <c:numCache>
                <c:formatCode>#,##0</c:formatCode>
                <c:ptCount val="10"/>
                <c:pt idx="0">
                  <c:v>265</c:v>
                </c:pt>
                <c:pt idx="1">
                  <c:v>689</c:v>
                </c:pt>
                <c:pt idx="2">
                  <c:v>689</c:v>
                </c:pt>
                <c:pt idx="3">
                  <c:v>742</c:v>
                </c:pt>
                <c:pt idx="4">
                  <c:v>795</c:v>
                </c:pt>
                <c:pt idx="5">
                  <c:v>954</c:v>
                </c:pt>
                <c:pt idx="6">
                  <c:v>678.4</c:v>
                </c:pt>
                <c:pt idx="7">
                  <c:v>243.79999999999998</c:v>
                </c:pt>
                <c:pt idx="8">
                  <c:v>1060</c:v>
                </c:pt>
                <c:pt idx="9">
                  <c:v>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9-4196-924D-A98AB4993AB8}"/>
            </c:ext>
          </c:extLst>
        </c:ser>
        <c:ser>
          <c:idx val="2"/>
          <c:order val="1"/>
          <c:tx>
            <c:strRef>
              <c:f>grafica!$B$12</c:f>
              <c:strCache>
                <c:ptCount val="1"/>
                <c:pt idx="0">
                  <c:v>CAP. FUTURA A 5300 HORAS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grafica!$C$5:$K$5</c:f>
              <c:numCache>
                <c:formatCode>General_)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grafica!$C$12:$L$12</c:f>
              <c:numCache>
                <c:formatCode>#,##0</c:formatCode>
                <c:ptCount val="10"/>
                <c:pt idx="0">
                  <c:v>742</c:v>
                </c:pt>
                <c:pt idx="1">
                  <c:v>689</c:v>
                </c:pt>
                <c:pt idx="2">
                  <c:v>689</c:v>
                </c:pt>
                <c:pt idx="3">
                  <c:v>742</c:v>
                </c:pt>
                <c:pt idx="4">
                  <c:v>1590</c:v>
                </c:pt>
                <c:pt idx="5">
                  <c:v>954</c:v>
                </c:pt>
                <c:pt idx="6">
                  <c:v>678.4</c:v>
                </c:pt>
                <c:pt idx="7">
                  <c:v>243.79999999999998</c:v>
                </c:pt>
                <c:pt idx="8">
                  <c:v>1060</c:v>
                </c:pt>
                <c:pt idx="9">
                  <c:v>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9-4196-924D-A98AB4993AB8}"/>
            </c:ext>
          </c:extLst>
        </c:ser>
        <c:ser>
          <c:idx val="1"/>
          <c:order val="2"/>
          <c:tx>
            <c:strRef>
              <c:f>grafica!#REF!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grafica!$C$5:$K$5</c:f>
              <c:numCache>
                <c:formatCode>General_)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grafica!#REF!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9-4196-924D-A98AB4993AB8}"/>
            </c:ext>
          </c:extLst>
        </c:ser>
        <c:ser>
          <c:idx val="4"/>
          <c:order val="3"/>
          <c:tx>
            <c:strRef>
              <c:f>grafica!$B$6</c:f>
              <c:strCache>
                <c:ptCount val="1"/>
                <c:pt idx="0">
                  <c:v>REQ. 1998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grafica!$C$5:$K$5</c:f>
              <c:numCache>
                <c:formatCode>General_)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grafica!$C$6:$L$6</c:f>
              <c:numCache>
                <c:formatCode>#,##0</c:formatCode>
                <c:ptCount val="10"/>
                <c:pt idx="0">
                  <c:v>144.03494717948718</c:v>
                </c:pt>
                <c:pt idx="1">
                  <c:v>144.03494717948718</c:v>
                </c:pt>
                <c:pt idx="2">
                  <c:v>144.03494717948718</c:v>
                </c:pt>
                <c:pt idx="3">
                  <c:v>59.880541538461536</c:v>
                </c:pt>
                <c:pt idx="4">
                  <c:v>150.30256410256408</c:v>
                </c:pt>
                <c:pt idx="5">
                  <c:v>144.03494717948718</c:v>
                </c:pt>
                <c:pt idx="6">
                  <c:v>150.30256410256408</c:v>
                </c:pt>
                <c:pt idx="7">
                  <c:v>83.447983589743586</c:v>
                </c:pt>
                <c:pt idx="8">
                  <c:v>150.30256410256408</c:v>
                </c:pt>
                <c:pt idx="9">
                  <c:v>150.30256410256408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9-4196-924D-A98AB4993AB8}"/>
            </c:ext>
          </c:extLst>
        </c:ser>
        <c:ser>
          <c:idx val="5"/>
          <c:order val="4"/>
          <c:tx>
            <c:strRef>
              <c:f>grafica!$B$7</c:f>
              <c:strCache>
                <c:ptCount val="1"/>
                <c:pt idx="0">
                  <c:v>REQ. 1999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grafica!$C$5:$K$5</c:f>
              <c:numCache>
                <c:formatCode>General_)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grafica!$C$7:$L$7</c:f>
              <c:numCache>
                <c:formatCode>#,##0</c:formatCode>
                <c:ptCount val="10"/>
                <c:pt idx="0">
                  <c:v>347.09563073626373</c:v>
                </c:pt>
                <c:pt idx="1">
                  <c:v>347.09563073626373</c:v>
                </c:pt>
                <c:pt idx="2">
                  <c:v>347.09563073626373</c:v>
                </c:pt>
                <c:pt idx="3">
                  <c:v>118.64176268131867</c:v>
                </c:pt>
                <c:pt idx="4">
                  <c:v>360.39417582417582</c:v>
                </c:pt>
                <c:pt idx="5">
                  <c:v>347.09563073626373</c:v>
                </c:pt>
                <c:pt idx="6">
                  <c:v>360.39417582417582</c:v>
                </c:pt>
                <c:pt idx="7">
                  <c:v>209.35297673626374</c:v>
                </c:pt>
                <c:pt idx="8">
                  <c:v>360.39417582417582</c:v>
                </c:pt>
                <c:pt idx="9">
                  <c:v>360.39417582417582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9-4196-924D-A98AB4993AB8}"/>
            </c:ext>
          </c:extLst>
        </c:ser>
        <c:ser>
          <c:idx val="6"/>
          <c:order val="5"/>
          <c:tx>
            <c:strRef>
              <c:f>grafica!$B$8</c:f>
              <c:strCache>
                <c:ptCount val="1"/>
                <c:pt idx="0">
                  <c:v>REQ. 2000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grafica!$C$5:$K$5</c:f>
              <c:numCache>
                <c:formatCode>General_)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grafica!$C$8:$L$8</c:f>
              <c:numCache>
                <c:formatCode>#,##0</c:formatCode>
                <c:ptCount val="10"/>
                <c:pt idx="0">
                  <c:v>237.71123471550672</c:v>
                </c:pt>
                <c:pt idx="1">
                  <c:v>237.71123471550672</c:v>
                </c:pt>
                <c:pt idx="2">
                  <c:v>237.71123471550672</c:v>
                </c:pt>
                <c:pt idx="3">
                  <c:v>78.280427418803427</c:v>
                </c:pt>
                <c:pt idx="4">
                  <c:v>247.40969474969475</c:v>
                </c:pt>
                <c:pt idx="5">
                  <c:v>237.71123471550672</c:v>
                </c:pt>
                <c:pt idx="6">
                  <c:v>247.40969474969475</c:v>
                </c:pt>
                <c:pt idx="7">
                  <c:v>145.94697893284493</c:v>
                </c:pt>
                <c:pt idx="8">
                  <c:v>247.40969474969475</c:v>
                </c:pt>
                <c:pt idx="9">
                  <c:v>247.40969474969475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B9-4196-924D-A98AB4993AB8}"/>
            </c:ext>
          </c:extLst>
        </c:ser>
        <c:ser>
          <c:idx val="7"/>
          <c:order val="6"/>
          <c:tx>
            <c:strRef>
              <c:f>grafica!$B$9</c:f>
              <c:strCache>
                <c:ptCount val="1"/>
                <c:pt idx="0">
                  <c:v>REQ. 2001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grafica!$C$5:$K$5</c:f>
              <c:numCache>
                <c:formatCode>General_)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grafica!$C$9:$L$9</c:f>
              <c:numCache>
                <c:formatCode>#,##0</c:formatCode>
                <c:ptCount val="10"/>
                <c:pt idx="0">
                  <c:v>262.75263692307686</c:v>
                </c:pt>
                <c:pt idx="1">
                  <c:v>262.75263692307686</c:v>
                </c:pt>
                <c:pt idx="2">
                  <c:v>262.75263692307686</c:v>
                </c:pt>
                <c:pt idx="3">
                  <c:v>82.280199450549446</c:v>
                </c:pt>
                <c:pt idx="4">
                  <c:v>272.00065934065935</c:v>
                </c:pt>
                <c:pt idx="5">
                  <c:v>262.75263692307686</c:v>
                </c:pt>
                <c:pt idx="6">
                  <c:v>272.00065934065935</c:v>
                </c:pt>
                <c:pt idx="7">
                  <c:v>164.58759896703296</c:v>
                </c:pt>
                <c:pt idx="8">
                  <c:v>272.00065934065935</c:v>
                </c:pt>
                <c:pt idx="9">
                  <c:v>272.00065934065935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B9-4196-924D-A98AB4993AB8}"/>
            </c:ext>
          </c:extLst>
        </c:ser>
        <c:ser>
          <c:idx val="8"/>
          <c:order val="7"/>
          <c:tx>
            <c:strRef>
              <c:f>grafica!$B$10</c:f>
              <c:strCache>
                <c:ptCount val="1"/>
                <c:pt idx="0">
                  <c:v>REQ. 2002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grafica!$C$5:$K$5</c:f>
              <c:numCache>
                <c:formatCode>General_)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grafica!$C$10:$L$10</c:f>
              <c:numCache>
                <c:formatCode>#,##0</c:formatCode>
                <c:ptCount val="10"/>
                <c:pt idx="0">
                  <c:v>269.87295020268618</c:v>
                </c:pt>
                <c:pt idx="1">
                  <c:v>269.87295020268618</c:v>
                </c:pt>
                <c:pt idx="2">
                  <c:v>269.87295020268618</c:v>
                </c:pt>
                <c:pt idx="3">
                  <c:v>83.538758094017084</c:v>
                </c:pt>
                <c:pt idx="4">
                  <c:v>279.48731379731379</c:v>
                </c:pt>
                <c:pt idx="5">
                  <c:v>269.87295020268618</c:v>
                </c:pt>
                <c:pt idx="6">
                  <c:v>279.48731379731379</c:v>
                </c:pt>
                <c:pt idx="7">
                  <c:v>170.23572283394384</c:v>
                </c:pt>
                <c:pt idx="8">
                  <c:v>279.48731379731379</c:v>
                </c:pt>
                <c:pt idx="9">
                  <c:v>279.48731379731379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B9-4196-924D-A98AB499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627080"/>
        <c:axId val="1"/>
      </c:barChart>
      <c:catAx>
        <c:axId val="67362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Operación.</a:t>
                </a:r>
              </a:p>
            </c:rich>
          </c:tx>
          <c:layout>
            <c:manualLayout>
              <c:xMode val="edge"/>
              <c:yMode val="edge"/>
              <c:x val="3.4293575781769617E-3"/>
              <c:y val="0.9389926505205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Pzas. x  1,000</a:t>
                </a:r>
              </a:p>
            </c:rich>
          </c:tx>
          <c:layout>
            <c:manualLayout>
              <c:xMode val="edge"/>
              <c:yMode val="edge"/>
              <c:x val="3.4293575781769617E-3"/>
              <c:y val="0.416445893027481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3627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7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219485582967346"/>
          <c:y val="0.94164517213220389"/>
          <c:w val="0.78669462843379501"/>
          <c:h val="5.43766930386202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Entradas!$A$151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Entradas!$B$151:$F$151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7-4A70-B39D-A6A78C10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626424"/>
        <c:axId val="1"/>
      </c:lineChart>
      <c:catAx>
        <c:axId val="673626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Footlight MT Light"/>
                    <a:ea typeface="Footlight MT Light"/>
                    <a:cs typeface="Footlight MT Light"/>
                  </a:defRPr>
                </a:pPr>
                <a:r>
                  <a:rPr lang="es-MX"/>
                  <a:t>PERIODO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673626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Footlight MT Light"/>
          <a:ea typeface="Footlight MT Light"/>
          <a:cs typeface="Footlight MT Light"/>
        </a:defRPr>
      </a:pPr>
      <a:endParaRPr lang="en-U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Entradas!$A$127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Entradas!$B$127:$F$127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F-4803-A33A-5008F6F5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283296"/>
        <c:axId val="1"/>
      </c:lineChart>
      <c:catAx>
        <c:axId val="526283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Footlight MT Light"/>
                    <a:ea typeface="Footlight MT Light"/>
                    <a:cs typeface="Footlight MT Light"/>
                  </a:defRPr>
                </a:pPr>
                <a:r>
                  <a:rPr lang="es-MX"/>
                  <a:t>PERIODOS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526283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Footlight MT Light"/>
          <a:ea typeface="Footlight MT Light"/>
          <a:cs typeface="Footlight MT Light"/>
        </a:defRPr>
      </a:pPr>
      <a:endParaRPr lang="en-U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Entradas!$A$129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Entradas!$B$129:$F$129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9-4901-8CF4-3AC21A29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06272"/>
        <c:axId val="1"/>
      </c:lineChart>
      <c:catAx>
        <c:axId val="5647062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Footlight MT Light"/>
                    <a:ea typeface="Footlight MT Light"/>
                    <a:cs typeface="Footlight MT Light"/>
                  </a:defRPr>
                </a:pPr>
                <a:r>
                  <a:rPr lang="es-MX"/>
                  <a:t>PERIODOS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564706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Footlight MT Light"/>
          <a:ea typeface="Footlight MT Light"/>
          <a:cs typeface="Footlight MT Light"/>
        </a:defRPr>
      </a:pPr>
      <a:endParaRPr lang="en-U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Entradas!$A$131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Entradas!$B$131:$F$131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2-41AF-A9C4-05DA983E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797560"/>
        <c:axId val="1"/>
      </c:lineChart>
      <c:catAx>
        <c:axId val="759797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Footlight MT Light"/>
                    <a:ea typeface="Footlight MT Light"/>
                    <a:cs typeface="Footlight MT Light"/>
                  </a:defRPr>
                </a:pPr>
                <a:r>
                  <a:rPr lang="es-MX"/>
                  <a:t>PERIODOS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759797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Footlight MT Light"/>
          <a:ea typeface="Footlight MT Light"/>
          <a:cs typeface="Footlight MT Light"/>
        </a:defRPr>
      </a:pPr>
      <a:endParaRPr lang="en-U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Entradas!$A$135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Entradas!$B$135:$F$135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F-474D-A6C2-1D707048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16776"/>
        <c:axId val="1"/>
      </c:lineChart>
      <c:catAx>
        <c:axId val="613316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Footlight MT Light"/>
                    <a:ea typeface="Footlight MT Light"/>
                    <a:cs typeface="Footlight MT Light"/>
                  </a:defRPr>
                </a:pPr>
                <a:r>
                  <a:rPr lang="es-MX"/>
                  <a:t>PERIODOS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613316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Footlight MT Light"/>
          <a:ea typeface="Footlight MT Light"/>
          <a:cs typeface="Footlight MT Light"/>
        </a:defRPr>
      </a:pPr>
      <a:endParaRPr lang="en-U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Entradas!$A$141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Entradas!$B$141:$F$141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264-A050-25C5F8A5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628688"/>
        <c:axId val="1"/>
      </c:lineChart>
      <c:catAx>
        <c:axId val="673628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Footlight MT Light"/>
                    <a:ea typeface="Footlight MT Light"/>
                    <a:cs typeface="Footlight MT Light"/>
                  </a:defRPr>
                </a:pPr>
                <a:r>
                  <a:rPr lang="es-MX"/>
                  <a:t>PERIODOS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673628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Footlight MT Light"/>
          <a:ea typeface="Footlight MT Light"/>
          <a:cs typeface="Footlight MT Light"/>
        </a:defRPr>
      </a:pPr>
      <a:endParaRPr lang="en-U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Entradas!$A$143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Entradas!$B$143:$F$143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A-441A-8C72-A609A076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19616"/>
        <c:axId val="1"/>
      </c:lineChart>
      <c:catAx>
        <c:axId val="609319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609319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Footlight MT Light"/>
          <a:ea typeface="Footlight MT Light"/>
          <a:cs typeface="Footlight MT Light"/>
        </a:defRPr>
      </a:pPr>
      <a:endParaRPr lang="en-U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Entradas!$A$145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Entradas!$B$145:$F$145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0-4F35-A944-955650CB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901752"/>
        <c:axId val="1"/>
      </c:lineChart>
      <c:catAx>
        <c:axId val="413901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Footlight MT Light"/>
                    <a:ea typeface="Footlight MT Light"/>
                    <a:cs typeface="Footlight MT Light"/>
                  </a:defRPr>
                </a:pPr>
                <a:r>
                  <a:rPr lang="es-MX"/>
                  <a:t>PERIODO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413901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Footlight MT Light"/>
          <a:ea typeface="Footlight MT Light"/>
          <a:cs typeface="Footlight MT Light"/>
        </a:defRPr>
      </a:pPr>
      <a:endParaRPr lang="en-U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Entradas!$A$149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Entradas!$B$149:$F$149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1-4BFD-8875-7C18467AC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99352"/>
        <c:axId val="1"/>
      </c:lineChart>
      <c:catAx>
        <c:axId val="5669993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Footlight MT Light"/>
                    <a:ea typeface="Footlight MT Light"/>
                    <a:cs typeface="Footlight MT Light"/>
                  </a:defRPr>
                </a:pPr>
                <a:r>
                  <a:rPr lang="es-MX"/>
                  <a:t>PERIODOS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Footlight MT Light"/>
                <a:ea typeface="Footlight MT Light"/>
                <a:cs typeface="Footlight MT Light"/>
              </a:defRPr>
            </a:pPr>
            <a:endParaRPr lang="en-US"/>
          </a:p>
        </c:txPr>
        <c:crossAx val="566999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Footlight MT Light"/>
          <a:ea typeface="Footlight MT Light"/>
          <a:cs typeface="Footlight MT Light"/>
        </a:defRPr>
      </a:pPr>
      <a:endParaRPr lang="en-U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33</xdr:row>
      <xdr:rowOff>0</xdr:rowOff>
    </xdr:from>
    <xdr:to>
      <xdr:col>15</xdr:col>
      <xdr:colOff>723900</xdr:colOff>
      <xdr:row>86</xdr:row>
      <xdr:rowOff>114300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30BB6390-EAD5-4BB8-946A-F72B4833A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60</xdr:row>
      <xdr:rowOff>0</xdr:rowOff>
    </xdr:from>
    <xdr:to>
      <xdr:col>6</xdr:col>
      <xdr:colOff>628650</xdr:colOff>
      <xdr:row>60</xdr:row>
      <xdr:rowOff>0</xdr:rowOff>
    </xdr:to>
    <xdr:graphicFrame macro="">
      <xdr:nvGraphicFramePr>
        <xdr:cNvPr id="2054" name="Gráfico 6">
          <a:extLst>
            <a:ext uri="{FF2B5EF4-FFF2-40B4-BE49-F238E27FC236}">
              <a16:creationId xmlns:a16="http://schemas.microsoft.com/office/drawing/2014/main" id="{B5877220-FDFD-4958-9D02-6446B6875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60</xdr:row>
      <xdr:rowOff>0</xdr:rowOff>
    </xdr:from>
    <xdr:to>
      <xdr:col>6</xdr:col>
      <xdr:colOff>676275</xdr:colOff>
      <xdr:row>60</xdr:row>
      <xdr:rowOff>0</xdr:rowOff>
    </xdr:to>
    <xdr:graphicFrame macro="">
      <xdr:nvGraphicFramePr>
        <xdr:cNvPr id="2055" name="Gráfico 7">
          <a:extLst>
            <a:ext uri="{FF2B5EF4-FFF2-40B4-BE49-F238E27FC236}">
              <a16:creationId xmlns:a16="http://schemas.microsoft.com/office/drawing/2014/main" id="{F72154D7-953B-445D-AB2E-CDEAA9136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60</xdr:row>
      <xdr:rowOff>0</xdr:rowOff>
    </xdr:from>
    <xdr:to>
      <xdr:col>6</xdr:col>
      <xdr:colOff>619125</xdr:colOff>
      <xdr:row>60</xdr:row>
      <xdr:rowOff>0</xdr:rowOff>
    </xdr:to>
    <xdr:graphicFrame macro="">
      <xdr:nvGraphicFramePr>
        <xdr:cNvPr id="2056" name="Gráfico 8">
          <a:extLst>
            <a:ext uri="{FF2B5EF4-FFF2-40B4-BE49-F238E27FC236}">
              <a16:creationId xmlns:a16="http://schemas.microsoft.com/office/drawing/2014/main" id="{1C45EF61-C998-4470-BFBD-5293D0ED1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60</xdr:row>
      <xdr:rowOff>0</xdr:rowOff>
    </xdr:from>
    <xdr:to>
      <xdr:col>6</xdr:col>
      <xdr:colOff>590550</xdr:colOff>
      <xdr:row>60</xdr:row>
      <xdr:rowOff>0</xdr:rowOff>
    </xdr:to>
    <xdr:graphicFrame macro="">
      <xdr:nvGraphicFramePr>
        <xdr:cNvPr id="2057" name="Gráfico 9">
          <a:extLst>
            <a:ext uri="{FF2B5EF4-FFF2-40B4-BE49-F238E27FC236}">
              <a16:creationId xmlns:a16="http://schemas.microsoft.com/office/drawing/2014/main" id="{25345214-3D09-4462-B309-F0F100D9A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60</xdr:row>
      <xdr:rowOff>0</xdr:rowOff>
    </xdr:from>
    <xdr:to>
      <xdr:col>6</xdr:col>
      <xdr:colOff>619125</xdr:colOff>
      <xdr:row>60</xdr:row>
      <xdr:rowOff>0</xdr:rowOff>
    </xdr:to>
    <xdr:graphicFrame macro="">
      <xdr:nvGraphicFramePr>
        <xdr:cNvPr id="2058" name="Gráfico 10">
          <a:extLst>
            <a:ext uri="{FF2B5EF4-FFF2-40B4-BE49-F238E27FC236}">
              <a16:creationId xmlns:a16="http://schemas.microsoft.com/office/drawing/2014/main" id="{C5BE06E9-56CC-4E95-8CD2-1AFDC436C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60</xdr:row>
      <xdr:rowOff>0</xdr:rowOff>
    </xdr:from>
    <xdr:to>
      <xdr:col>6</xdr:col>
      <xdr:colOff>257175</xdr:colOff>
      <xdr:row>60</xdr:row>
      <xdr:rowOff>0</xdr:rowOff>
    </xdr:to>
    <xdr:graphicFrame macro="">
      <xdr:nvGraphicFramePr>
        <xdr:cNvPr id="2059" name="Gráfico 11">
          <a:extLst>
            <a:ext uri="{FF2B5EF4-FFF2-40B4-BE49-F238E27FC236}">
              <a16:creationId xmlns:a16="http://schemas.microsoft.com/office/drawing/2014/main" id="{4969548C-FBB3-49A8-AD6A-E39F0C1AB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60</xdr:row>
      <xdr:rowOff>0</xdr:rowOff>
    </xdr:from>
    <xdr:to>
      <xdr:col>6</xdr:col>
      <xdr:colOff>571500</xdr:colOff>
      <xdr:row>60</xdr:row>
      <xdr:rowOff>0</xdr:rowOff>
    </xdr:to>
    <xdr:graphicFrame macro="">
      <xdr:nvGraphicFramePr>
        <xdr:cNvPr id="2060" name="Gráfico 12">
          <a:extLst>
            <a:ext uri="{FF2B5EF4-FFF2-40B4-BE49-F238E27FC236}">
              <a16:creationId xmlns:a16="http://schemas.microsoft.com/office/drawing/2014/main" id="{D17A9340-221A-4FB5-9DC8-AA909454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60</xdr:row>
      <xdr:rowOff>0</xdr:rowOff>
    </xdr:from>
    <xdr:to>
      <xdr:col>6</xdr:col>
      <xdr:colOff>619125</xdr:colOff>
      <xdr:row>60</xdr:row>
      <xdr:rowOff>0</xdr:rowOff>
    </xdr:to>
    <xdr:graphicFrame macro="">
      <xdr:nvGraphicFramePr>
        <xdr:cNvPr id="2061" name="Gráfico 13">
          <a:extLst>
            <a:ext uri="{FF2B5EF4-FFF2-40B4-BE49-F238E27FC236}">
              <a16:creationId xmlns:a16="http://schemas.microsoft.com/office/drawing/2014/main" id="{621AFEE3-B81E-45D2-8DCB-4CB25CE1F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60</xdr:row>
      <xdr:rowOff>0</xdr:rowOff>
    </xdr:from>
    <xdr:to>
      <xdr:col>6</xdr:col>
      <xdr:colOff>657225</xdr:colOff>
      <xdr:row>60</xdr:row>
      <xdr:rowOff>0</xdr:rowOff>
    </xdr:to>
    <xdr:graphicFrame macro="">
      <xdr:nvGraphicFramePr>
        <xdr:cNvPr id="2062" name="Gráfico 14">
          <a:extLst>
            <a:ext uri="{FF2B5EF4-FFF2-40B4-BE49-F238E27FC236}">
              <a16:creationId xmlns:a16="http://schemas.microsoft.com/office/drawing/2014/main" id="{2C2782F0-B86E-4CB5-8774-22A8D717A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os%20Ensamblado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dad"/>
      <sheetName val="Hoja1"/>
      <sheetName val="Supply Chain"/>
      <sheetName val="Costo Deportivo"/>
      <sheetName val="Costo Estandar"/>
      <sheetName val="Hoja2"/>
    </sheetNames>
    <sheetDataSet>
      <sheetData sheetId="0"/>
      <sheetData sheetId="1"/>
      <sheetData sheetId="2"/>
      <sheetData sheetId="3"/>
      <sheetData sheetId="4">
        <row r="4">
          <cell r="B4" t="str">
            <v>Llanta trasera</v>
          </cell>
        </row>
        <row r="5">
          <cell r="B5" t="str">
            <v>Llanta delantera</v>
          </cell>
        </row>
        <row r="6">
          <cell r="B6" t="str">
            <v>Rin delantero</v>
          </cell>
        </row>
        <row r="7">
          <cell r="B7" t="str">
            <v>Rin trasero</v>
          </cell>
        </row>
        <row r="8">
          <cell r="B8" t="str">
            <v>Manguera naranja</v>
          </cell>
        </row>
        <row r="9">
          <cell r="B9" t="str">
            <v>Soporte naranja trasero</v>
          </cell>
        </row>
        <row r="10">
          <cell r="B10" t="str">
            <v>Tablero naranja</v>
          </cell>
        </row>
        <row r="11">
          <cell r="B11" t="str">
            <v>Gomas</v>
          </cell>
        </row>
        <row r="12">
          <cell r="B12" t="str">
            <v>Unión naranja delantera</v>
          </cell>
        </row>
        <row r="13">
          <cell r="B13" t="str">
            <v>Base trasera (chasis)</v>
          </cell>
        </row>
        <row r="14">
          <cell r="B14" t="str">
            <v>Base de metal vino</v>
          </cell>
        </row>
        <row r="15">
          <cell r="B15" t="str">
            <v>Eje</v>
          </cell>
        </row>
        <row r="16">
          <cell r="B16" t="str">
            <v>Soporte de metal laterales</v>
          </cell>
        </row>
        <row r="17">
          <cell r="B17" t="str">
            <v>Unión eje trasero</v>
          </cell>
        </row>
        <row r="18">
          <cell r="B18" t="str">
            <v>Base delantero (chasis)</v>
          </cell>
        </row>
        <row r="19">
          <cell r="B19" t="str">
            <v>Soporte L</v>
          </cell>
        </row>
        <row r="20">
          <cell r="B20" t="str">
            <v>Puertas vino (chasis)</v>
          </cell>
        </row>
        <row r="21">
          <cell r="B21" t="str">
            <v>Bases manguera naranja</v>
          </cell>
        </row>
        <row r="22">
          <cell r="B22" t="str">
            <v>Tornillo bola chico</v>
          </cell>
        </row>
        <row r="23">
          <cell r="B23" t="str">
            <v>Tornillo bola mediano</v>
          </cell>
        </row>
        <row r="24">
          <cell r="B24" t="str">
            <v>Tornillo bola grande</v>
          </cell>
        </row>
        <row r="25">
          <cell r="B25" t="str">
            <v>Tuercas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3"/>
  <sheetViews>
    <sheetView showZeros="0" zoomScale="77" zoomScaleNormal="77" workbookViewId="0">
      <selection activeCell="D6" sqref="D6"/>
    </sheetView>
  </sheetViews>
  <sheetFormatPr baseColWidth="10" defaultRowHeight="10.5" x14ac:dyDescent="0.15"/>
  <cols>
    <col min="1" max="1" width="10.85546875" style="22" customWidth="1"/>
    <col min="2" max="2" width="38.28515625" style="22" customWidth="1"/>
    <col min="3" max="3" width="11" style="22" customWidth="1"/>
    <col min="4" max="4" width="11.42578125" style="22"/>
    <col min="5" max="5" width="11" style="22" customWidth="1"/>
    <col min="6" max="10" width="11.42578125" style="22"/>
    <col min="11" max="11" width="12.28515625" style="22" customWidth="1"/>
    <col min="12" max="14" width="11.42578125" style="22"/>
    <col min="15" max="15" width="12.28515625" style="22" customWidth="1"/>
    <col min="16" max="16384" width="11.42578125" style="22"/>
  </cols>
  <sheetData>
    <row r="1" spans="1:16" ht="19.5" x14ac:dyDescent="0.35">
      <c r="A1" s="20"/>
      <c r="B1" s="21" t="s">
        <v>292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9.5" x14ac:dyDescent="0.3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19.5" x14ac:dyDescent="0.35">
      <c r="A3" s="20"/>
      <c r="B3" s="21" t="s">
        <v>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19.5" x14ac:dyDescent="0.35">
      <c r="A4" s="20"/>
      <c r="B4" s="20"/>
      <c r="C4" s="24"/>
      <c r="D4" s="24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19.5" x14ac:dyDescent="0.35">
      <c r="A5" s="20"/>
      <c r="B5" s="25" t="s">
        <v>1</v>
      </c>
      <c r="C5" s="26">
        <f>A19</f>
        <v>10</v>
      </c>
      <c r="D5" s="26">
        <f>A20</f>
        <v>20</v>
      </c>
      <c r="E5" s="26">
        <f>A21</f>
        <v>30</v>
      </c>
      <c r="F5" s="26">
        <f>A22</f>
        <v>40</v>
      </c>
      <c r="G5" s="26">
        <f>A23</f>
        <v>50</v>
      </c>
      <c r="H5" s="26">
        <f>A24</f>
        <v>60</v>
      </c>
      <c r="I5" s="26">
        <f>A25</f>
        <v>70</v>
      </c>
      <c r="J5" s="26">
        <f>A26</f>
        <v>80</v>
      </c>
      <c r="K5" s="26">
        <f>A27</f>
        <v>90</v>
      </c>
      <c r="L5" s="26">
        <f>A28</f>
        <v>100</v>
      </c>
      <c r="M5" s="26"/>
      <c r="N5" s="26"/>
      <c r="O5" s="20"/>
      <c r="P5" s="20"/>
    </row>
    <row r="6" spans="1:16" ht="19.5" x14ac:dyDescent="0.35">
      <c r="A6" s="20"/>
      <c r="B6" s="20" t="s">
        <v>2</v>
      </c>
      <c r="C6" s="27">
        <f>capacidad!$S$9*5.3</f>
        <v>144.03494717948718</v>
      </c>
      <c r="D6" s="27">
        <f>capacidad!$S$10*5.3</f>
        <v>144.03494717948718</v>
      </c>
      <c r="E6" s="27">
        <f>capacidad!$S$11*5.3</f>
        <v>144.03494717948718</v>
      </c>
      <c r="F6" s="27">
        <f>capacidad!$S$12*5.3</f>
        <v>59.880541538461536</v>
      </c>
      <c r="G6" s="27">
        <f>capacidad!$S$13*5.3</f>
        <v>150.30256410256408</v>
      </c>
      <c r="H6" s="27">
        <f>capacidad!$S$14*5.3</f>
        <v>144.03494717948718</v>
      </c>
      <c r="I6" s="27">
        <f>capacidad!$S$15*5.3</f>
        <v>150.30256410256408</v>
      </c>
      <c r="J6" s="27">
        <f>capacidad!$S$16*5.3</f>
        <v>83.447983589743586</v>
      </c>
      <c r="K6" s="27">
        <f>capacidad!$S$17*5.3</f>
        <v>150.30256410256408</v>
      </c>
      <c r="L6" s="27">
        <f>capacidad!$S$18*5.3</f>
        <v>150.30256410256408</v>
      </c>
      <c r="M6" s="27"/>
      <c r="N6" s="27"/>
      <c r="O6" s="27"/>
      <c r="P6" s="27"/>
    </row>
    <row r="7" spans="1:16" ht="19.5" x14ac:dyDescent="0.35">
      <c r="A7" s="20"/>
      <c r="B7" s="20" t="s">
        <v>3</v>
      </c>
      <c r="C7" s="27">
        <f>capacidad!$AC$9*5.3</f>
        <v>347.09563073626373</v>
      </c>
      <c r="D7" s="27">
        <f>capacidad!$AC$10*5.3</f>
        <v>347.09563073626373</v>
      </c>
      <c r="E7" s="27">
        <f>capacidad!$AC$11*5.3</f>
        <v>347.09563073626373</v>
      </c>
      <c r="F7" s="27">
        <f>capacidad!$AC$12*5.3</f>
        <v>118.64176268131867</v>
      </c>
      <c r="G7" s="27">
        <f>capacidad!$AC$13*5.3</f>
        <v>360.39417582417582</v>
      </c>
      <c r="H7" s="27">
        <f>capacidad!$AC$14*5.3</f>
        <v>347.09563073626373</v>
      </c>
      <c r="I7" s="27">
        <f>capacidad!$AC$15*5.3</f>
        <v>360.39417582417582</v>
      </c>
      <c r="J7" s="27">
        <f>capacidad!$AC$16*5.3</f>
        <v>209.35297673626374</v>
      </c>
      <c r="K7" s="27">
        <f>capacidad!$AC$17*5.3</f>
        <v>360.39417582417582</v>
      </c>
      <c r="L7" s="27">
        <f>capacidad!$AC$18*5.3</f>
        <v>360.39417582417582</v>
      </c>
      <c r="M7" s="27"/>
      <c r="N7" s="27"/>
      <c r="O7" s="27"/>
      <c r="P7" s="27"/>
    </row>
    <row r="8" spans="1:16" ht="19.5" x14ac:dyDescent="0.35">
      <c r="A8" s="20"/>
      <c r="B8" s="20" t="s">
        <v>4</v>
      </c>
      <c r="C8" s="27">
        <f>capacidad!$AM$9*5.3</f>
        <v>237.71123471550672</v>
      </c>
      <c r="D8" s="27">
        <f>capacidad!$AM$10*5.3</f>
        <v>237.71123471550672</v>
      </c>
      <c r="E8" s="27">
        <f>capacidad!$AM$11*5.3</f>
        <v>237.71123471550672</v>
      </c>
      <c r="F8" s="27">
        <f>capacidad!$AM$12*5.3</f>
        <v>78.280427418803427</v>
      </c>
      <c r="G8" s="27">
        <f>capacidad!$AM$13*5.3</f>
        <v>247.40969474969475</v>
      </c>
      <c r="H8" s="27">
        <f>capacidad!$AM$14*5.3</f>
        <v>237.71123471550672</v>
      </c>
      <c r="I8" s="27">
        <f>capacidad!$AM$15*5.3</f>
        <v>247.40969474969475</v>
      </c>
      <c r="J8" s="27">
        <f>capacidad!$AM$16*5.3</f>
        <v>145.94697893284493</v>
      </c>
      <c r="K8" s="27">
        <f>capacidad!$AM$17*5.3</f>
        <v>247.40969474969475</v>
      </c>
      <c r="L8" s="27">
        <f>capacidad!$AM$18*5.3</f>
        <v>247.40969474969475</v>
      </c>
      <c r="M8" s="27"/>
      <c r="N8" s="27"/>
      <c r="O8" s="27"/>
      <c r="P8" s="27"/>
    </row>
    <row r="9" spans="1:16" ht="19.5" x14ac:dyDescent="0.35">
      <c r="A9" s="20"/>
      <c r="B9" s="20" t="s">
        <v>5</v>
      </c>
      <c r="C9" s="27">
        <f>capacidad!$AW$9*5.3</f>
        <v>262.75263692307686</v>
      </c>
      <c r="D9" s="27">
        <f>capacidad!$AW$10*5.3</f>
        <v>262.75263692307686</v>
      </c>
      <c r="E9" s="27">
        <f>capacidad!$AW$11*5.3</f>
        <v>262.75263692307686</v>
      </c>
      <c r="F9" s="27">
        <f>capacidad!$AW$12*5.3</f>
        <v>82.280199450549446</v>
      </c>
      <c r="G9" s="27">
        <f>capacidad!$AW$13*5.3</f>
        <v>272.00065934065935</v>
      </c>
      <c r="H9" s="27">
        <f>capacidad!$AW$14*5.3</f>
        <v>262.75263692307686</v>
      </c>
      <c r="I9" s="27">
        <f>capacidad!$AW$15*5.3</f>
        <v>272.00065934065935</v>
      </c>
      <c r="J9" s="27">
        <f>capacidad!$AW$16*5.3</f>
        <v>164.58759896703296</v>
      </c>
      <c r="K9" s="27">
        <f>capacidad!$AW$17*5.3</f>
        <v>272.00065934065935</v>
      </c>
      <c r="L9" s="27">
        <f>capacidad!$AW$18*5.3</f>
        <v>272.00065934065935</v>
      </c>
      <c r="M9" s="27"/>
      <c r="N9" s="27"/>
      <c r="O9" s="27"/>
      <c r="P9" s="27"/>
    </row>
    <row r="10" spans="1:16" ht="19.5" x14ac:dyDescent="0.35">
      <c r="A10" s="20"/>
      <c r="B10" s="20" t="s">
        <v>6</v>
      </c>
      <c r="C10" s="27">
        <f>capacidad!$BG$9*5.3</f>
        <v>269.87295020268618</v>
      </c>
      <c r="D10" s="27">
        <f>capacidad!$BG$10*5.3</f>
        <v>269.87295020268618</v>
      </c>
      <c r="E10" s="27">
        <f>capacidad!$BG$11*5.3</f>
        <v>269.87295020268618</v>
      </c>
      <c r="F10" s="27">
        <f>capacidad!$BG$12*5.3</f>
        <v>83.538758094017084</v>
      </c>
      <c r="G10" s="27">
        <f>capacidad!$BG$13*5.3</f>
        <v>279.48731379731379</v>
      </c>
      <c r="H10" s="27">
        <f>capacidad!$BG$14*5.3</f>
        <v>269.87295020268618</v>
      </c>
      <c r="I10" s="27">
        <f>capacidad!$BG$15*5.3</f>
        <v>279.48731379731379</v>
      </c>
      <c r="J10" s="27">
        <f>capacidad!$BG$16*5.3</f>
        <v>170.23572283394384</v>
      </c>
      <c r="K10" s="27">
        <f>capacidad!$BG$17*5.3</f>
        <v>279.48731379731379</v>
      </c>
      <c r="L10" s="27">
        <f>capacidad!$BG$18*5.3</f>
        <v>279.48731379731379</v>
      </c>
      <c r="M10" s="27"/>
      <c r="N10" s="27"/>
      <c r="O10" s="27"/>
      <c r="P10" s="27"/>
    </row>
    <row r="11" spans="1:16" ht="19.5" x14ac:dyDescent="0.35">
      <c r="A11" s="20"/>
      <c r="B11" s="20" t="s">
        <v>7</v>
      </c>
      <c r="C11" s="27">
        <f>capacidad!$G$9*5.3</f>
        <v>265</v>
      </c>
      <c r="D11" s="27">
        <f>capacidad!$G$10*5.3</f>
        <v>689</v>
      </c>
      <c r="E11" s="27">
        <f>capacidad!$G$11*5.3</f>
        <v>689</v>
      </c>
      <c r="F11" s="27">
        <f>capacidad!$G$12*5.3</f>
        <v>742</v>
      </c>
      <c r="G11" s="27">
        <f>capacidad!$G$13*5.3</f>
        <v>795</v>
      </c>
      <c r="H11" s="27">
        <f>capacidad!$G$14*5.3</f>
        <v>954</v>
      </c>
      <c r="I11" s="27">
        <f>capacidad!$G$15*5.3</f>
        <v>678.4</v>
      </c>
      <c r="J11" s="27">
        <f>capacidad!G16*5.3</f>
        <v>243.79999999999998</v>
      </c>
      <c r="K11" s="27">
        <f>capacidad!$G$17*5.3</f>
        <v>1060</v>
      </c>
      <c r="L11" s="27">
        <f>capacidad!$G$18*5.3</f>
        <v>1325</v>
      </c>
      <c r="M11" s="27"/>
      <c r="N11" s="27"/>
      <c r="O11" s="27"/>
      <c r="P11" s="27"/>
    </row>
    <row r="12" spans="1:16" ht="19.5" x14ac:dyDescent="0.35">
      <c r="A12" s="20"/>
      <c r="B12" s="20" t="s">
        <v>8</v>
      </c>
      <c r="C12" s="27">
        <f>capacidad!$BH$9*5.3</f>
        <v>742</v>
      </c>
      <c r="D12" s="27">
        <f>capacidad!$BH$10*5.3</f>
        <v>689</v>
      </c>
      <c r="E12" s="27">
        <f>capacidad!$BH$11*5.3</f>
        <v>689</v>
      </c>
      <c r="F12" s="27">
        <f>capacidad!$BH$12*5.3</f>
        <v>742</v>
      </c>
      <c r="G12" s="27">
        <f>capacidad!$BH$13*5.3</f>
        <v>1590</v>
      </c>
      <c r="H12" s="27">
        <v>954</v>
      </c>
      <c r="I12" s="27">
        <f>capacidad!$BH$15*5.3</f>
        <v>678.4</v>
      </c>
      <c r="J12" s="27">
        <f>capacidad!$BH$16*5.3</f>
        <v>243.79999999999998</v>
      </c>
      <c r="K12" s="27">
        <f>capacidad!$BH$17*5.3</f>
        <v>1060</v>
      </c>
      <c r="L12" s="27">
        <f>capacidad!$BH$18*5.3</f>
        <v>1325</v>
      </c>
      <c r="M12" s="27"/>
      <c r="N12" s="27"/>
      <c r="O12" s="27"/>
      <c r="P12" s="27"/>
    </row>
    <row r="13" spans="1:16" ht="19.5" x14ac:dyDescent="0.35">
      <c r="A13" s="20"/>
      <c r="B13" s="20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 ht="19.5" x14ac:dyDescent="0.3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19.5" x14ac:dyDescent="0.35">
      <c r="A15" s="20"/>
      <c r="B15" s="28" t="s">
        <v>9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3"/>
      <c r="N15" s="23"/>
      <c r="O15" s="23"/>
      <c r="P15" s="23"/>
    </row>
    <row r="16" spans="1:16" ht="20.25" thickBot="1" x14ac:dyDescent="0.4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 ht="19.5" x14ac:dyDescent="0.35">
      <c r="A17" s="30" t="s">
        <v>10</v>
      </c>
      <c r="B17" s="31" t="s">
        <v>11</v>
      </c>
      <c r="C17" s="32">
        <v>2020</v>
      </c>
      <c r="D17" s="33"/>
      <c r="E17" s="32">
        <v>2021</v>
      </c>
      <c r="F17" s="33"/>
      <c r="G17" s="32">
        <v>2022</v>
      </c>
      <c r="H17" s="33"/>
      <c r="I17" s="32">
        <v>2023</v>
      </c>
      <c r="J17" s="33"/>
      <c r="K17" s="32">
        <v>2024</v>
      </c>
      <c r="L17" s="33"/>
      <c r="M17" s="32">
        <v>2025</v>
      </c>
      <c r="N17" s="33"/>
      <c r="O17" s="32" t="s">
        <v>12</v>
      </c>
      <c r="P17" s="34"/>
    </row>
    <row r="18" spans="1:16" ht="20.25" thickBot="1" x14ac:dyDescent="0.4">
      <c r="A18" s="35"/>
      <c r="B18" s="35"/>
      <c r="C18" s="36" t="s">
        <v>13</v>
      </c>
      <c r="D18" s="37" t="s">
        <v>14</v>
      </c>
      <c r="E18" s="36" t="s">
        <v>13</v>
      </c>
      <c r="F18" s="37" t="s">
        <v>14</v>
      </c>
      <c r="G18" s="36" t="s">
        <v>13</v>
      </c>
      <c r="H18" s="37" t="s">
        <v>14</v>
      </c>
      <c r="I18" s="36" t="s">
        <v>13</v>
      </c>
      <c r="J18" s="37" t="s">
        <v>14</v>
      </c>
      <c r="K18" s="36" t="s">
        <v>13</v>
      </c>
      <c r="L18" s="37" t="s">
        <v>14</v>
      </c>
      <c r="M18" s="36" t="s">
        <v>13</v>
      </c>
      <c r="N18" s="37" t="s">
        <v>14</v>
      </c>
      <c r="O18" s="36" t="s">
        <v>13</v>
      </c>
      <c r="P18" s="37" t="s">
        <v>14</v>
      </c>
    </row>
    <row r="19" spans="1:16" ht="19.5" x14ac:dyDescent="0.35">
      <c r="A19" s="38">
        <f>capacidad!A9</f>
        <v>10</v>
      </c>
      <c r="B19" s="39" t="str">
        <f>capacidad!B9</f>
        <v>La uno</v>
      </c>
      <c r="C19" s="40">
        <f>capacidad!M9</f>
        <v>0</v>
      </c>
      <c r="D19" s="41">
        <f>capacidad!L9</f>
        <v>0</v>
      </c>
      <c r="E19" s="40">
        <f>capacidad!W9</f>
        <v>0</v>
      </c>
      <c r="F19" s="41">
        <f>capacidad!V9</f>
        <v>0</v>
      </c>
      <c r="G19" s="40">
        <f>capacidad!AG9</f>
        <v>0</v>
      </c>
      <c r="H19" s="41">
        <f>capacidad!AF9</f>
        <v>0</v>
      </c>
      <c r="I19" s="40">
        <f>capacidad!AQ9</f>
        <v>280</v>
      </c>
      <c r="J19" s="41">
        <f>capacidad!AP9</f>
        <v>1</v>
      </c>
      <c r="K19" s="40">
        <f>capacidad!BA9</f>
        <v>0</v>
      </c>
      <c r="L19" s="41">
        <f>capacidad!AZ9</f>
        <v>0</v>
      </c>
      <c r="M19" s="40">
        <f>capacidad!BK9</f>
        <v>0</v>
      </c>
      <c r="N19" s="41">
        <f>capacidad!BJ9</f>
        <v>0</v>
      </c>
      <c r="O19" s="40">
        <f t="shared" ref="O19:P28" si="0">C19+E19+G19+I19+K19+M19</f>
        <v>280</v>
      </c>
      <c r="P19" s="42">
        <f t="shared" si="0"/>
        <v>1</v>
      </c>
    </row>
    <row r="20" spans="1:16" ht="19.5" x14ac:dyDescent="0.35">
      <c r="A20" s="38">
        <f>capacidad!A10</f>
        <v>20</v>
      </c>
      <c r="B20" s="39" t="str">
        <f>capacidad!B10</f>
        <v>La dos</v>
      </c>
      <c r="C20" s="40">
        <f>capacidad!M10</f>
        <v>0</v>
      </c>
      <c r="D20" s="41">
        <f>capacidad!L10</f>
        <v>0</v>
      </c>
      <c r="E20" s="40">
        <f>capacidad!W10</f>
        <v>0</v>
      </c>
      <c r="F20" s="41">
        <f>capacidad!V10</f>
        <v>0</v>
      </c>
      <c r="G20" s="40">
        <f>capacidad!AG10</f>
        <v>0</v>
      </c>
      <c r="H20" s="41">
        <f>capacidad!AF10</f>
        <v>0</v>
      </c>
      <c r="I20" s="40">
        <f>capacidad!AQ10</f>
        <v>0</v>
      </c>
      <c r="J20" s="41">
        <f>capacidad!AP10</f>
        <v>0</v>
      </c>
      <c r="K20" s="40">
        <f>capacidad!BA10</f>
        <v>0</v>
      </c>
      <c r="L20" s="41">
        <f>capacidad!AZ10</f>
        <v>0</v>
      </c>
      <c r="M20" s="40">
        <f>capacidad!BK10</f>
        <v>0</v>
      </c>
      <c r="N20" s="41">
        <f>capacidad!BJ10</f>
        <v>0</v>
      </c>
      <c r="O20" s="40">
        <f t="shared" si="0"/>
        <v>0</v>
      </c>
      <c r="P20" s="42">
        <f t="shared" si="0"/>
        <v>0</v>
      </c>
    </row>
    <row r="21" spans="1:16" ht="19.5" x14ac:dyDescent="0.35">
      <c r="A21" s="38">
        <f>capacidad!A11</f>
        <v>30</v>
      </c>
      <c r="B21" s="39" t="str">
        <f>capacidad!B11</f>
        <v>La tres</v>
      </c>
      <c r="C21" s="40">
        <f>capacidad!M11</f>
        <v>0</v>
      </c>
      <c r="D21" s="41">
        <f>capacidad!L11</f>
        <v>0</v>
      </c>
      <c r="E21" s="40">
        <f>capacidad!W11</f>
        <v>0</v>
      </c>
      <c r="F21" s="41">
        <f>capacidad!V11</f>
        <v>0</v>
      </c>
      <c r="G21" s="40">
        <f>capacidad!AG11</f>
        <v>0</v>
      </c>
      <c r="H21" s="41">
        <f>capacidad!AF11</f>
        <v>0</v>
      </c>
      <c r="I21" s="40">
        <f>capacidad!AQ11</f>
        <v>0</v>
      </c>
      <c r="J21" s="41">
        <f>capacidad!AP11</f>
        <v>0</v>
      </c>
      <c r="K21" s="40">
        <f>capacidad!BA11</f>
        <v>0</v>
      </c>
      <c r="L21" s="41">
        <f>capacidad!AZ11</f>
        <v>0</v>
      </c>
      <c r="M21" s="40">
        <f>capacidad!BK11</f>
        <v>0</v>
      </c>
      <c r="N21" s="41">
        <f>capacidad!BJ11</f>
        <v>0</v>
      </c>
      <c r="O21" s="40">
        <f t="shared" si="0"/>
        <v>0</v>
      </c>
      <c r="P21" s="42">
        <f t="shared" si="0"/>
        <v>0</v>
      </c>
    </row>
    <row r="22" spans="1:16" ht="19.5" x14ac:dyDescent="0.35">
      <c r="A22" s="38">
        <f>capacidad!A12</f>
        <v>40</v>
      </c>
      <c r="B22" s="39" t="str">
        <f>capacidad!B12</f>
        <v>La cuatro</v>
      </c>
      <c r="C22" s="40">
        <f>capacidad!M12</f>
        <v>0</v>
      </c>
      <c r="D22" s="41">
        <f>capacidad!L12</f>
        <v>0</v>
      </c>
      <c r="E22" s="40">
        <f>capacidad!W12</f>
        <v>0</v>
      </c>
      <c r="F22" s="41">
        <f>capacidad!V12</f>
        <v>0</v>
      </c>
      <c r="G22" s="40">
        <f>capacidad!AG12</f>
        <v>0</v>
      </c>
      <c r="H22" s="41">
        <f>capacidad!AF12</f>
        <v>0</v>
      </c>
      <c r="I22" s="40">
        <f>capacidad!AQ12</f>
        <v>0</v>
      </c>
      <c r="J22" s="41">
        <f>capacidad!AP12</f>
        <v>0</v>
      </c>
      <c r="K22" s="40">
        <f>capacidad!BA12</f>
        <v>0</v>
      </c>
      <c r="L22" s="41">
        <f>capacidad!AZ12</f>
        <v>0</v>
      </c>
      <c r="M22" s="40">
        <f>capacidad!BK12</f>
        <v>0</v>
      </c>
      <c r="N22" s="41">
        <f>capacidad!BJ12</f>
        <v>0</v>
      </c>
      <c r="O22" s="40">
        <f t="shared" si="0"/>
        <v>0</v>
      </c>
      <c r="P22" s="42">
        <f t="shared" si="0"/>
        <v>0</v>
      </c>
    </row>
    <row r="23" spans="1:16" ht="19.5" x14ac:dyDescent="0.35">
      <c r="A23" s="38">
        <f>capacidad!A13</f>
        <v>50</v>
      </c>
      <c r="B23" s="39" t="str">
        <f>capacidad!B13</f>
        <v>La cinco</v>
      </c>
      <c r="C23" s="40">
        <f>capacidad!M13</f>
        <v>0</v>
      </c>
      <c r="D23" s="41">
        <f>capacidad!L13</f>
        <v>0</v>
      </c>
      <c r="E23" s="40">
        <f>capacidad!W13</f>
        <v>0</v>
      </c>
      <c r="F23" s="41">
        <f>capacidad!V13</f>
        <v>0</v>
      </c>
      <c r="G23" s="40">
        <f>capacidad!AG13</f>
        <v>196</v>
      </c>
      <c r="H23" s="41">
        <f>capacidad!AF13</f>
        <v>1</v>
      </c>
      <c r="I23" s="40">
        <f>capacidad!AQ13</f>
        <v>0</v>
      </c>
      <c r="J23" s="41">
        <f>capacidad!AP13</f>
        <v>0</v>
      </c>
      <c r="K23" s="40">
        <f>capacidad!BA13</f>
        <v>0</v>
      </c>
      <c r="L23" s="41">
        <f>capacidad!AZ13</f>
        <v>0</v>
      </c>
      <c r="M23" s="40">
        <f>capacidad!BK13</f>
        <v>0</v>
      </c>
      <c r="N23" s="41">
        <f>capacidad!BJ13</f>
        <v>0</v>
      </c>
      <c r="O23" s="40">
        <f t="shared" si="0"/>
        <v>196</v>
      </c>
      <c r="P23" s="42">
        <f t="shared" si="0"/>
        <v>1</v>
      </c>
    </row>
    <row r="24" spans="1:16" ht="19.5" x14ac:dyDescent="0.35">
      <c r="A24" s="38">
        <f>capacidad!A14</f>
        <v>60</v>
      </c>
      <c r="B24" s="39" t="str">
        <f>capacidad!B14</f>
        <v>La seis</v>
      </c>
      <c r="C24" s="40">
        <f>capacidad!M14</f>
        <v>0</v>
      </c>
      <c r="D24" s="41">
        <f>capacidad!L14</f>
        <v>0</v>
      </c>
      <c r="E24" s="40">
        <f>capacidad!W14</f>
        <v>0</v>
      </c>
      <c r="F24" s="41">
        <f>capacidad!V14</f>
        <v>0</v>
      </c>
      <c r="G24" s="40">
        <f>capacidad!AG14</f>
        <v>0</v>
      </c>
      <c r="H24" s="41">
        <f>capacidad!AF14</f>
        <v>0</v>
      </c>
      <c r="I24" s="40">
        <f>capacidad!AQ14</f>
        <v>0</v>
      </c>
      <c r="J24" s="41">
        <f>capacidad!AP14</f>
        <v>0</v>
      </c>
      <c r="K24" s="40">
        <f>capacidad!BA14</f>
        <v>0</v>
      </c>
      <c r="L24" s="41">
        <f>capacidad!AZ14</f>
        <v>0</v>
      </c>
      <c r="M24" s="40">
        <f>capacidad!BK14</f>
        <v>0</v>
      </c>
      <c r="N24" s="41">
        <f>capacidad!BJ14</f>
        <v>0</v>
      </c>
      <c r="O24" s="40">
        <f t="shared" si="0"/>
        <v>0</v>
      </c>
      <c r="P24" s="42">
        <f t="shared" si="0"/>
        <v>0</v>
      </c>
    </row>
    <row r="25" spans="1:16" ht="19.5" x14ac:dyDescent="0.35">
      <c r="A25" s="38">
        <f>capacidad!A15</f>
        <v>70</v>
      </c>
      <c r="B25" s="39" t="str">
        <f>capacidad!B15</f>
        <v>La siete</v>
      </c>
      <c r="C25" s="40">
        <f>capacidad!M15</f>
        <v>0</v>
      </c>
      <c r="D25" s="41">
        <f>capacidad!L15</f>
        <v>0</v>
      </c>
      <c r="E25" s="40">
        <f>capacidad!W15</f>
        <v>0</v>
      </c>
      <c r="F25" s="41">
        <f>capacidad!V15</f>
        <v>0</v>
      </c>
      <c r="G25" s="40">
        <f>capacidad!AG15</f>
        <v>0</v>
      </c>
      <c r="H25" s="41">
        <f>capacidad!AF15</f>
        <v>0</v>
      </c>
      <c r="I25" s="40">
        <f>capacidad!AQ15</f>
        <v>0</v>
      </c>
      <c r="J25" s="41">
        <f>capacidad!AP15</f>
        <v>0</v>
      </c>
      <c r="K25" s="40">
        <f>capacidad!BA15</f>
        <v>0</v>
      </c>
      <c r="L25" s="41">
        <f>capacidad!AZ15</f>
        <v>0</v>
      </c>
      <c r="M25" s="40">
        <f>capacidad!BK15</f>
        <v>0</v>
      </c>
      <c r="N25" s="41">
        <f>capacidad!BJ15</f>
        <v>0</v>
      </c>
      <c r="O25" s="40">
        <f t="shared" si="0"/>
        <v>0</v>
      </c>
      <c r="P25" s="42">
        <f t="shared" si="0"/>
        <v>0</v>
      </c>
    </row>
    <row r="26" spans="1:16" ht="19.5" x14ac:dyDescent="0.35">
      <c r="A26" s="38">
        <f>capacidad!A16</f>
        <v>80</v>
      </c>
      <c r="B26" s="39" t="str">
        <f>capacidad!B16</f>
        <v>La ocho</v>
      </c>
      <c r="C26" s="40">
        <f>capacidad!M16</f>
        <v>0</v>
      </c>
      <c r="D26" s="41">
        <f>capacidad!L16</f>
        <v>0</v>
      </c>
      <c r="E26" s="40">
        <f>capacidad!W16</f>
        <v>0</v>
      </c>
      <c r="F26" s="41">
        <f>capacidad!V16</f>
        <v>0</v>
      </c>
      <c r="G26" s="40">
        <f>capacidad!AG16</f>
        <v>0</v>
      </c>
      <c r="H26" s="41">
        <f>capacidad!AF16</f>
        <v>0</v>
      </c>
      <c r="I26" s="40">
        <f>capacidad!AQ16</f>
        <v>0</v>
      </c>
      <c r="J26" s="41">
        <f>capacidad!AP16</f>
        <v>0</v>
      </c>
      <c r="K26" s="40">
        <f>capacidad!BA16</f>
        <v>0</v>
      </c>
      <c r="L26" s="41">
        <f>capacidad!AZ16</f>
        <v>0</v>
      </c>
      <c r="M26" s="40">
        <f>capacidad!BK16</f>
        <v>0</v>
      </c>
      <c r="N26" s="41">
        <f>capacidad!BJ16</f>
        <v>0</v>
      </c>
      <c r="O26" s="40">
        <f t="shared" si="0"/>
        <v>0</v>
      </c>
      <c r="P26" s="42">
        <f t="shared" si="0"/>
        <v>0</v>
      </c>
    </row>
    <row r="27" spans="1:16" ht="19.5" x14ac:dyDescent="0.35">
      <c r="A27" s="38">
        <f>capacidad!A17</f>
        <v>90</v>
      </c>
      <c r="B27" s="39" t="str">
        <f>capacidad!B17</f>
        <v>La nueve</v>
      </c>
      <c r="C27" s="40">
        <f>capacidad!M17</f>
        <v>0</v>
      </c>
      <c r="D27" s="41">
        <f>capacidad!L17</f>
        <v>0</v>
      </c>
      <c r="E27" s="40">
        <f>capacidad!W17</f>
        <v>0</v>
      </c>
      <c r="F27" s="41">
        <f>capacidad!V17</f>
        <v>0</v>
      </c>
      <c r="G27" s="40">
        <f>capacidad!AG17</f>
        <v>0</v>
      </c>
      <c r="H27" s="41">
        <f>capacidad!AF17</f>
        <v>0</v>
      </c>
      <c r="I27" s="40">
        <f>capacidad!AQ17</f>
        <v>0</v>
      </c>
      <c r="J27" s="41">
        <f>capacidad!AP17</f>
        <v>0</v>
      </c>
      <c r="K27" s="40">
        <f>capacidad!BA17</f>
        <v>0</v>
      </c>
      <c r="L27" s="41">
        <f>capacidad!AZ17</f>
        <v>0</v>
      </c>
      <c r="M27" s="40">
        <f>capacidad!BK17</f>
        <v>0</v>
      </c>
      <c r="N27" s="41">
        <f>capacidad!BJ17</f>
        <v>0</v>
      </c>
      <c r="O27" s="40">
        <f t="shared" si="0"/>
        <v>0</v>
      </c>
      <c r="P27" s="42">
        <f t="shared" si="0"/>
        <v>0</v>
      </c>
    </row>
    <row r="28" spans="1:16" ht="19.5" x14ac:dyDescent="0.35">
      <c r="A28" s="38">
        <f>capacidad!A18</f>
        <v>100</v>
      </c>
      <c r="B28" s="39" t="str">
        <f>capacidad!B18</f>
        <v>La diez</v>
      </c>
      <c r="C28" s="40">
        <f>capacidad!M18</f>
        <v>0</v>
      </c>
      <c r="D28" s="41">
        <f>capacidad!L18</f>
        <v>0</v>
      </c>
      <c r="E28" s="40">
        <f>capacidad!W18</f>
        <v>0</v>
      </c>
      <c r="F28" s="41">
        <f>capacidad!V18</f>
        <v>0</v>
      </c>
      <c r="G28" s="40">
        <f>capacidad!AG18</f>
        <v>0</v>
      </c>
      <c r="H28" s="41">
        <f>capacidad!AF18</f>
        <v>0</v>
      </c>
      <c r="I28" s="40">
        <f>capacidad!AQ18</f>
        <v>0</v>
      </c>
      <c r="J28" s="41">
        <f>capacidad!AP18</f>
        <v>0</v>
      </c>
      <c r="K28" s="40">
        <f>capacidad!BA18</f>
        <v>0</v>
      </c>
      <c r="L28" s="41">
        <f>capacidad!AZ18</f>
        <v>0</v>
      </c>
      <c r="M28" s="40">
        <f>capacidad!BK18</f>
        <v>0</v>
      </c>
      <c r="N28" s="41">
        <f>capacidad!BJ18</f>
        <v>0</v>
      </c>
      <c r="O28" s="40">
        <f t="shared" si="0"/>
        <v>0</v>
      </c>
      <c r="P28" s="42">
        <f t="shared" si="0"/>
        <v>0</v>
      </c>
    </row>
    <row r="29" spans="1:16" ht="20.25" thickBot="1" x14ac:dyDescent="0.4">
      <c r="A29" s="43"/>
      <c r="B29" s="44"/>
      <c r="C29" s="45"/>
      <c r="D29" s="46"/>
      <c r="E29" s="45"/>
      <c r="F29" s="46"/>
      <c r="G29" s="45"/>
      <c r="H29" s="46"/>
      <c r="I29" s="45"/>
      <c r="J29" s="46"/>
      <c r="K29" s="45"/>
      <c r="L29" s="46"/>
      <c r="M29" s="45"/>
      <c r="N29" s="46"/>
      <c r="O29" s="45"/>
      <c r="P29" s="47"/>
    </row>
    <row r="30" spans="1:16" ht="21" thickTop="1" thickBot="1" x14ac:dyDescent="0.4">
      <c r="A30" s="48"/>
      <c r="B30" s="49" t="s">
        <v>15</v>
      </c>
      <c r="C30" s="50">
        <f>SUM(C19:C29)</f>
        <v>0</v>
      </c>
      <c r="D30" s="50">
        <f t="shared" ref="D30:P30" si="1">SUM(D19:D29)</f>
        <v>0</v>
      </c>
      <c r="E30" s="50">
        <f t="shared" si="1"/>
        <v>0</v>
      </c>
      <c r="F30" s="50">
        <f t="shared" si="1"/>
        <v>0</v>
      </c>
      <c r="G30" s="50">
        <f t="shared" si="1"/>
        <v>196</v>
      </c>
      <c r="H30" s="50">
        <f t="shared" si="1"/>
        <v>1</v>
      </c>
      <c r="I30" s="50">
        <f t="shared" si="1"/>
        <v>280</v>
      </c>
      <c r="J30" s="50">
        <f t="shared" si="1"/>
        <v>1</v>
      </c>
      <c r="K30" s="50">
        <f t="shared" si="1"/>
        <v>0</v>
      </c>
      <c r="L30" s="50">
        <f t="shared" si="1"/>
        <v>0</v>
      </c>
      <c r="M30" s="50">
        <f t="shared" si="1"/>
        <v>0</v>
      </c>
      <c r="N30" s="50">
        <f t="shared" si="1"/>
        <v>0</v>
      </c>
      <c r="O30" s="50">
        <f t="shared" si="1"/>
        <v>476</v>
      </c>
      <c r="P30" s="51">
        <f t="shared" si="1"/>
        <v>2</v>
      </c>
    </row>
    <row r="31" spans="1:16" ht="12.75" x14ac:dyDescent="0.2"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2.75" x14ac:dyDescent="0.2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1:11" x14ac:dyDescent="0.15">
      <c r="K33" s="54"/>
    </row>
  </sheetData>
  <phoneticPr fontId="2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scale="51" orientation="portrait" r:id="rId1"/>
  <headerFooter alignWithMargins="0">
    <oddFooter>&amp;R&amp;14Junio '97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9"/>
  <sheetViews>
    <sheetView topLeftCell="A3" workbookViewId="0">
      <selection activeCell="B28" sqref="B28"/>
    </sheetView>
  </sheetViews>
  <sheetFormatPr baseColWidth="10" defaultRowHeight="12.75" x14ac:dyDescent="0.2"/>
  <cols>
    <col min="1" max="1" width="31.42578125" customWidth="1"/>
    <col min="2" max="3" width="13.28515625" customWidth="1"/>
    <col min="4" max="7" width="14" bestFit="1" customWidth="1"/>
    <col min="8" max="10" width="13.28515625" customWidth="1"/>
  </cols>
  <sheetData>
    <row r="1" spans="1:10" s="159" customFormat="1" x14ac:dyDescent="0.2">
      <c r="A1" s="174" t="s">
        <v>244</v>
      </c>
      <c r="B1" s="151">
        <v>2020</v>
      </c>
      <c r="C1" s="151">
        <f>B1+1</f>
        <v>2021</v>
      </c>
      <c r="D1" s="151">
        <f t="shared" ref="D1:J1" si="0">C1+1</f>
        <v>2022</v>
      </c>
      <c r="E1" s="151">
        <f t="shared" si="0"/>
        <v>2023</v>
      </c>
      <c r="F1" s="151">
        <f t="shared" si="0"/>
        <v>2024</v>
      </c>
      <c r="G1" s="151">
        <f t="shared" si="0"/>
        <v>2025</v>
      </c>
      <c r="H1" s="151">
        <f t="shared" si="0"/>
        <v>2026</v>
      </c>
      <c r="I1" s="151">
        <f t="shared" si="0"/>
        <v>2027</v>
      </c>
      <c r="J1" s="151">
        <f t="shared" si="0"/>
        <v>2028</v>
      </c>
    </row>
    <row r="3" spans="1:10" x14ac:dyDescent="0.2">
      <c r="A3" s="1" t="s">
        <v>245</v>
      </c>
    </row>
    <row r="4" spans="1:10" x14ac:dyDescent="0.2">
      <c r="A4" s="10" t="s">
        <v>246</v>
      </c>
      <c r="B4" s="10">
        <v>35000</v>
      </c>
      <c r="C4" s="2">
        <f t="shared" ref="C4:J4" si="1">B37</f>
        <v>-21641475</v>
      </c>
      <c r="D4" s="2">
        <f t="shared" si="1"/>
        <v>-71408605</v>
      </c>
      <c r="E4" s="2">
        <f t="shared" si="1"/>
        <v>-113991523.89049995</v>
      </c>
      <c r="F4" s="2">
        <f t="shared" si="1"/>
        <v>-157472254.11453736</v>
      </c>
      <c r="G4" s="2">
        <f t="shared" si="1"/>
        <v>-204249460.70890164</v>
      </c>
      <c r="H4" s="2">
        <f t="shared" si="1"/>
        <v>-189980655.22586465</v>
      </c>
      <c r="I4" s="2">
        <f t="shared" si="1"/>
        <v>-189980655.22586465</v>
      </c>
      <c r="J4" s="2">
        <f t="shared" si="1"/>
        <v>-189980655.22586465</v>
      </c>
    </row>
    <row r="5" spans="1:10" x14ac:dyDescent="0.2">
      <c r="A5" s="2" t="s">
        <v>247</v>
      </c>
      <c r="B5" s="2">
        <f>'Edo-Re'!B8-Balance!B11</f>
        <v>148989400</v>
      </c>
      <c r="C5" s="2">
        <f>'Edo-Re'!C8-Balance!C11</f>
        <v>511220080</v>
      </c>
      <c r="D5" s="2">
        <f>'Edo-Re'!D8-Balance!D11</f>
        <v>586677576.10000002</v>
      </c>
      <c r="E5" s="2">
        <f>'Edo-Re'!E8-Balance!E11</f>
        <v>695960553.5575</v>
      </c>
      <c r="F5" s="2">
        <f>'Edo-Re'!F8-Balance!F11</f>
        <v>657894178.09885001</v>
      </c>
      <c r="G5" s="2">
        <f>'Edo-Re'!G8-Balance!G11</f>
        <v>0</v>
      </c>
      <c r="H5" s="2">
        <f>'Edo-Re'!H8-Balance!H11</f>
        <v>0</v>
      </c>
      <c r="I5" s="2">
        <f>'Edo-Re'!I8-Balance!I11</f>
        <v>0</v>
      </c>
      <c r="J5" s="2">
        <f>'Edo-Re'!J8-Balance!J11</f>
        <v>0</v>
      </c>
    </row>
    <row r="6" spans="1:10" x14ac:dyDescent="0.2">
      <c r="A6" s="10" t="s">
        <v>248</v>
      </c>
      <c r="B6" s="10">
        <v>1000</v>
      </c>
      <c r="C6" s="2"/>
      <c r="D6" s="2"/>
      <c r="E6" s="2"/>
      <c r="F6" s="2"/>
      <c r="G6" s="2"/>
      <c r="H6" s="2"/>
      <c r="I6" s="2"/>
      <c r="J6" s="2"/>
    </row>
    <row r="7" spans="1:10" x14ac:dyDescent="0.2">
      <c r="A7" s="10" t="s">
        <v>249</v>
      </c>
      <c r="B7" s="10">
        <f>Premisas!B21*'Edo-Re'!B8</f>
        <v>4469682</v>
      </c>
      <c r="C7" s="10">
        <f>Premisas!C21*'Edo-Re'!C8</f>
        <v>15336602.399999999</v>
      </c>
      <c r="D7" s="10">
        <f>Premisas!D21*'Edo-Re'!D8</f>
        <v>17600327.283</v>
      </c>
      <c r="E7" s="10">
        <f>Premisas!E21*'Edo-Re'!E8</f>
        <v>20878816.606725</v>
      </c>
      <c r="F7" s="10">
        <f>Premisas!F21*'Edo-Re'!F8</f>
        <v>19736825.342965499</v>
      </c>
      <c r="G7" s="10">
        <f>Premisas!G21*'Edo-Re'!G8</f>
        <v>0</v>
      </c>
      <c r="H7" s="10">
        <f>Premisas!H21*'Edo-Re'!H8</f>
        <v>0</v>
      </c>
      <c r="I7" s="10">
        <f>Premisas!I21*'Edo-Re'!I8</f>
        <v>0</v>
      </c>
      <c r="J7" s="10">
        <f>Premisas!J21*'Edo-Re'!J8</f>
        <v>0</v>
      </c>
    </row>
    <row r="8" spans="1:10" x14ac:dyDescent="0.2">
      <c r="A8" s="2" t="s">
        <v>250</v>
      </c>
      <c r="B8" s="2">
        <v>0</v>
      </c>
      <c r="C8" s="2"/>
      <c r="D8" s="2"/>
      <c r="E8" s="2"/>
      <c r="F8" s="2"/>
      <c r="G8" s="2"/>
      <c r="H8" s="2"/>
      <c r="I8" s="2"/>
      <c r="J8" s="2"/>
    </row>
    <row r="9" spans="1:10" x14ac:dyDescent="0.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3.5" thickBot="1" x14ac:dyDescent="0.25">
      <c r="A10" s="4" t="s">
        <v>251</v>
      </c>
      <c r="B10" s="4">
        <f t="shared" ref="B10:J10" si="2">SUM(B4:B8)</f>
        <v>153495082</v>
      </c>
      <c r="C10" s="4">
        <f t="shared" si="2"/>
        <v>504915207.39999998</v>
      </c>
      <c r="D10" s="4">
        <f t="shared" si="2"/>
        <v>532869298.38300002</v>
      </c>
      <c r="E10" s="4">
        <f t="shared" si="2"/>
        <v>602847846.27372503</v>
      </c>
      <c r="F10" s="4">
        <f t="shared" si="2"/>
        <v>520158749.32727814</v>
      </c>
      <c r="G10" s="4">
        <f t="shared" si="2"/>
        <v>-204249460.70890164</v>
      </c>
      <c r="H10" s="4">
        <f t="shared" si="2"/>
        <v>-189980655.22586465</v>
      </c>
      <c r="I10" s="4">
        <f t="shared" si="2"/>
        <v>-189980655.22586465</v>
      </c>
      <c r="J10" s="4">
        <f t="shared" si="2"/>
        <v>-189980655.22586465</v>
      </c>
    </row>
    <row r="11" spans="1:10" ht="13.5" thickTop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1" t="s">
        <v>252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">
      <c r="A13" s="2" t="s">
        <v>253</v>
      </c>
      <c r="B13" s="2">
        <f>'Edo-Re'!B11+Balance!B8</f>
        <v>22687500</v>
      </c>
      <c r="C13" s="2">
        <f>'Edo-Re'!C11+Balance!C8-Balance!C39-Balance!B8</f>
        <v>284808991.59999996</v>
      </c>
      <c r="D13" s="2">
        <f>'Edo-Re'!D11+Balance!D8-Balance!D39-Balance!C8</f>
        <v>275686857.75999999</v>
      </c>
      <c r="E13" s="2">
        <f>'Edo-Re'!E11+Balance!E8-Balance!E39-Balance!D8</f>
        <v>331042749.09199995</v>
      </c>
      <c r="F13" s="2">
        <f>'Edo-Re'!F11+Balance!F8-Balance!F39-Balance!E8</f>
        <v>356043345.32217002</v>
      </c>
      <c r="G13" s="2">
        <f>'Edo-Re'!G11+Balance!G8-Balance!G39-Balance!F8</f>
        <v>-110574209.30710001</v>
      </c>
      <c r="H13" s="2">
        <f>'Edo-Re'!H11+Balance!H8-Balance!H39-Balance!G8</f>
        <v>0</v>
      </c>
      <c r="I13" s="2">
        <f>'Edo-Re'!I11+Balance!I8-Balance!I39-Balance!H8</f>
        <v>0</v>
      </c>
      <c r="J13" s="2">
        <f>'Edo-Re'!J11+Balance!J8-Balance!J39-Balance!I8</f>
        <v>0</v>
      </c>
    </row>
    <row r="14" spans="1:10" x14ac:dyDescent="0.2">
      <c r="A14" s="2" t="s">
        <v>254</v>
      </c>
      <c r="B14" s="2">
        <f>'Edo-Re'!B12+Balance!B9-Balance!B40</f>
        <v>102537608</v>
      </c>
      <c r="C14" s="2">
        <f>'Edo-Re'!C12+Balance!C9-Balance!C40-Balance!B9</f>
        <v>92832980</v>
      </c>
      <c r="D14" s="2">
        <f>'Edo-Re'!D12+Balance!D9-Balance!D40-Balance!C9</f>
        <v>83001415.220000014</v>
      </c>
      <c r="E14" s="2">
        <f>'Edo-Re'!E12+Balance!E9-Balance!E40-Balance!D9</f>
        <v>92631045.131500006</v>
      </c>
      <c r="F14" s="2">
        <f>'Edo-Re'!F12+Balance!F9-Balance!F40-Balance!E9</f>
        <v>26636198.761170007</v>
      </c>
      <c r="G14" s="2">
        <f>'Edo-Re'!G12+Balance!G9-Balance!G40-Balance!F9</f>
        <v>-21004626.312670004</v>
      </c>
      <c r="H14" s="2">
        <f>'Edo-Re'!H12+Balance!H9-Balance!H40-Balance!G9</f>
        <v>0</v>
      </c>
      <c r="I14" s="2">
        <f>'Edo-Re'!I12+Balance!I9-Balance!I40-Balance!H9</f>
        <v>0</v>
      </c>
      <c r="J14" s="2">
        <f>'Edo-Re'!J12+Balance!J9-Balance!J40-Balance!I9</f>
        <v>0</v>
      </c>
    </row>
    <row r="15" spans="1:10" x14ac:dyDescent="0.2">
      <c r="A15" s="2" t="s">
        <v>255</v>
      </c>
      <c r="B15" s="2">
        <f>'Edo-Re'!B13+Balance!B10-Balance!B41</f>
        <v>0</v>
      </c>
      <c r="C15" s="2">
        <f>'Edo-Re'!C13+Balance!C10-Balance!C41-Balance!B10</f>
        <v>0</v>
      </c>
      <c r="D15" s="2">
        <f>'Edo-Re'!D13+Balance!D10-Balance!D41-Balance!C10</f>
        <v>0</v>
      </c>
      <c r="E15" s="2">
        <f>'Edo-Re'!E13+Balance!E10-Balance!E41-Balance!D10</f>
        <v>0</v>
      </c>
      <c r="F15" s="2">
        <f>'Edo-Re'!F13+Balance!F10-Balance!F41-Balance!E10</f>
        <v>0</v>
      </c>
      <c r="G15" s="2">
        <f>'Edo-Re'!G13+Balance!G10-Balance!G41-Balance!F10</f>
        <v>0</v>
      </c>
      <c r="H15" s="2">
        <f>'Edo-Re'!H13+Balance!H10-Balance!H41-Balance!G10</f>
        <v>0</v>
      </c>
      <c r="I15" s="2">
        <f>'Edo-Re'!I13+Balance!I10-Balance!I41-Balance!H10</f>
        <v>0</v>
      </c>
      <c r="J15" s="2">
        <f>'Edo-Re'!J13+Balance!J10-Balance!J41-Balance!I10</f>
        <v>0</v>
      </c>
    </row>
    <row r="16" spans="1:10" x14ac:dyDescent="0.2">
      <c r="A16" s="2" t="s">
        <v>223</v>
      </c>
      <c r="B16" s="2">
        <f>'Edo-Re'!B14</f>
        <v>3465000</v>
      </c>
      <c r="C16" s="2">
        <f>'Edo-Re'!C14</f>
        <v>52577931</v>
      </c>
      <c r="D16" s="2">
        <f>'Edo-Re'!D14</f>
        <v>62816661.599999994</v>
      </c>
      <c r="E16" s="2">
        <f>'Edo-Re'!E14</f>
        <v>75352631.969999999</v>
      </c>
      <c r="F16" s="2">
        <f>'Edo-Re'!F14</f>
        <v>82930656.980324998</v>
      </c>
      <c r="G16" s="2">
        <f>'Edo-Re'!G14</f>
        <v>0</v>
      </c>
      <c r="H16" s="2">
        <f>'Edo-Re'!H14</f>
        <v>0</v>
      </c>
      <c r="I16" s="2">
        <f>'Edo-Re'!I14</f>
        <v>0</v>
      </c>
      <c r="J16" s="2">
        <f>'Edo-Re'!J14</f>
        <v>0</v>
      </c>
    </row>
    <row r="17" spans="1:10" x14ac:dyDescent="0.2">
      <c r="A17" s="2" t="s">
        <v>224</v>
      </c>
      <c r="B17" s="2">
        <f>'Edo-Re'!B15</f>
        <v>18883410</v>
      </c>
      <c r="C17" s="2">
        <f>'Edo-Re'!C15</f>
        <v>24105081</v>
      </c>
      <c r="D17" s="2">
        <f>'Edo-Re'!D15</f>
        <v>25184974.815000001</v>
      </c>
      <c r="E17" s="2">
        <f>'Edo-Re'!E15</f>
        <v>29041451.063625004</v>
      </c>
      <c r="F17" s="2">
        <f>'Edo-Re'!F15</f>
        <v>15753469.7345025</v>
      </c>
      <c r="G17" s="2">
        <f>'Edo-Re'!G15</f>
        <v>0</v>
      </c>
      <c r="H17" s="2">
        <f>'Edo-Re'!H15</f>
        <v>0</v>
      </c>
      <c r="I17" s="2">
        <f>'Edo-Re'!I15</f>
        <v>0</v>
      </c>
      <c r="J17" s="2">
        <f>'Edo-Re'!J15</f>
        <v>0</v>
      </c>
    </row>
    <row r="18" spans="1:10" x14ac:dyDescent="0.2">
      <c r="A18" s="2" t="s">
        <v>225</v>
      </c>
      <c r="B18" s="2">
        <f>'Edo-Re'!B16</f>
        <v>0</v>
      </c>
      <c r="C18" s="2">
        <f>'Edo-Re'!C16</f>
        <v>0</v>
      </c>
      <c r="D18" s="2">
        <f>'Edo-Re'!D16</f>
        <v>0</v>
      </c>
      <c r="E18" s="2">
        <f>'Edo-Re'!E16</f>
        <v>0</v>
      </c>
      <c r="F18" s="2">
        <f>'Edo-Re'!F16</f>
        <v>0</v>
      </c>
      <c r="G18" s="2">
        <f>'Edo-Re'!G16</f>
        <v>0</v>
      </c>
      <c r="H18" s="2">
        <f>'Edo-Re'!H16</f>
        <v>0</v>
      </c>
      <c r="I18" s="2">
        <f>'Edo-Re'!I16</f>
        <v>0</v>
      </c>
      <c r="J18" s="2">
        <f>'Edo-Re'!J16</f>
        <v>0</v>
      </c>
    </row>
    <row r="19" spans="1:10" x14ac:dyDescent="0.2">
      <c r="A19" s="2" t="s">
        <v>226</v>
      </c>
      <c r="B19" s="2">
        <f>'Edo-Re'!B17</f>
        <v>2772000</v>
      </c>
      <c r="C19" s="2">
        <f>'Edo-Re'!C17</f>
        <v>42062344.799999997</v>
      </c>
      <c r="D19" s="2">
        <f>'Edo-Re'!D17</f>
        <v>50253329.280000001</v>
      </c>
      <c r="E19" s="2">
        <f>'Edo-Re'!E17</f>
        <v>60282105.575999998</v>
      </c>
      <c r="F19" s="2">
        <f>'Edo-Re'!F17</f>
        <v>66344525.584260002</v>
      </c>
      <c r="G19" s="2">
        <f>'Edo-Re'!G17</f>
        <v>0</v>
      </c>
      <c r="H19" s="2">
        <f>'Edo-Re'!H17</f>
        <v>0</v>
      </c>
      <c r="I19" s="2">
        <f>'Edo-Re'!I17</f>
        <v>0</v>
      </c>
      <c r="J19" s="2">
        <f>'Edo-Re'!J17</f>
        <v>0</v>
      </c>
    </row>
    <row r="20" spans="1:10" x14ac:dyDescent="0.2">
      <c r="A20" s="2" t="s">
        <v>227</v>
      </c>
      <c r="B20" s="2">
        <f>'Edo-Re'!B18</f>
        <v>15106728</v>
      </c>
      <c r="C20" s="2">
        <f>'Edo-Re'!C18</f>
        <v>19284064.800000001</v>
      </c>
      <c r="D20" s="2">
        <f>'Edo-Re'!D18</f>
        <v>20147979.852000002</v>
      </c>
      <c r="E20" s="2">
        <f>'Edo-Re'!E18</f>
        <v>23233160.850900002</v>
      </c>
      <c r="F20" s="2">
        <f>'Edo-Re'!F18</f>
        <v>12602775.787602</v>
      </c>
      <c r="G20" s="2">
        <f>'Edo-Re'!G18</f>
        <v>0</v>
      </c>
      <c r="H20" s="2">
        <f>'Edo-Re'!H18</f>
        <v>0</v>
      </c>
      <c r="I20" s="2">
        <f>'Edo-Re'!I18</f>
        <v>0</v>
      </c>
      <c r="J20" s="2">
        <f>'Edo-Re'!J18</f>
        <v>0</v>
      </c>
    </row>
    <row r="21" spans="1:10" x14ac:dyDescent="0.2">
      <c r="A21" s="2" t="s">
        <v>228</v>
      </c>
      <c r="B21" s="2">
        <f>'Edo-Re'!B19</f>
        <v>0</v>
      </c>
      <c r="C21" s="2">
        <f>'Edo-Re'!C19</f>
        <v>0</v>
      </c>
      <c r="D21" s="2">
        <f>'Edo-Re'!D19</f>
        <v>0</v>
      </c>
      <c r="E21" s="2">
        <f>'Edo-Re'!E19</f>
        <v>0</v>
      </c>
      <c r="F21" s="2">
        <f>'Edo-Re'!F19</f>
        <v>0</v>
      </c>
      <c r="G21" s="2">
        <f>'Edo-Re'!G19</f>
        <v>0</v>
      </c>
      <c r="H21" s="2">
        <f>'Edo-Re'!H19</f>
        <v>0</v>
      </c>
      <c r="I21" s="2">
        <f>'Edo-Re'!I19</f>
        <v>0</v>
      </c>
      <c r="J21" s="2">
        <f>'Edo-Re'!J19</f>
        <v>0</v>
      </c>
    </row>
    <row r="22" spans="1:10" x14ac:dyDescent="0.2">
      <c r="A22" s="2" t="s">
        <v>256</v>
      </c>
      <c r="B22" s="2">
        <f>'Edo-Re'!B25-SUM('Edo-Re'!B27:B30)-'Edo-Re'!B32</f>
        <v>8939364</v>
      </c>
      <c r="C22" s="2">
        <f>'Edo-Re'!C25-SUM('Edo-Re'!C27:C30)-'Edo-Re'!C32</f>
        <v>30673204.799999997</v>
      </c>
      <c r="D22" s="2">
        <f>'Edo-Re'!D25-SUM('Edo-Re'!D27:D30)-'Edo-Re'!D32</f>
        <v>35200654.566</v>
      </c>
      <c r="E22" s="2">
        <f>'Edo-Re'!E25-SUM('Edo-Re'!E27:E30)-'Edo-Re'!E32</f>
        <v>41757633.21345</v>
      </c>
      <c r="F22" s="2">
        <f>'Edo-Re'!F25-SUM('Edo-Re'!F27:F30)-'Edo-Re'!F32</f>
        <v>39473650.685930997</v>
      </c>
      <c r="G22" s="2">
        <f>'Edo-Re'!G25-SUM('Edo-Re'!G27:G30)-'Edo-Re'!G32</f>
        <v>0</v>
      </c>
      <c r="H22" s="2">
        <f>'Edo-Re'!H25-SUM('Edo-Re'!H27:H30)-'Edo-Re'!H32</f>
        <v>0</v>
      </c>
      <c r="I22" s="2">
        <f>'Edo-Re'!I25-SUM('Edo-Re'!I27:I30)-'Edo-Re'!I32</f>
        <v>0</v>
      </c>
      <c r="J22" s="2">
        <f>'Edo-Re'!J25-SUM('Edo-Re'!J27:J30)-'Edo-Re'!J32</f>
        <v>0</v>
      </c>
    </row>
    <row r="23" spans="1:10" x14ac:dyDescent="0.2">
      <c r="A23" s="2" t="s">
        <v>238</v>
      </c>
      <c r="B23" s="2">
        <f>'Edo-Re'!B32</f>
        <v>744947</v>
      </c>
      <c r="C23" s="2">
        <f>'Edo-Re'!C32</f>
        <v>2556100.4</v>
      </c>
      <c r="D23" s="2">
        <f>'Edo-Re'!D32</f>
        <v>2933387.8805</v>
      </c>
      <c r="E23" s="2">
        <f>'Edo-Re'!E32</f>
        <v>3479802.7677875003</v>
      </c>
      <c r="F23" s="2">
        <f>'Edo-Re'!F32</f>
        <v>3289470.8904942502</v>
      </c>
      <c r="G23" s="2">
        <f>'Edo-Re'!G32</f>
        <v>0</v>
      </c>
      <c r="H23" s="2">
        <f>'Edo-Re'!H32</f>
        <v>0</v>
      </c>
      <c r="I23" s="2">
        <f>'Edo-Re'!I32</f>
        <v>0</v>
      </c>
      <c r="J23" s="2">
        <f>'Edo-Re'!J32</f>
        <v>0</v>
      </c>
    </row>
    <row r="24" spans="1:10" x14ac:dyDescent="0.2">
      <c r="A24" s="2" t="s">
        <v>257</v>
      </c>
      <c r="B24" s="2">
        <f>'Edo-Re'!B36</f>
        <v>0</v>
      </c>
      <c r="C24" s="2">
        <f>'Edo-Re'!C36</f>
        <v>0</v>
      </c>
      <c r="D24" s="2">
        <f>'Edo-Re'!D36</f>
        <v>0</v>
      </c>
      <c r="E24" s="2">
        <f>'Edo-Re'!E36</f>
        <v>0</v>
      </c>
      <c r="F24" s="2">
        <f>'Edo-Re'!F36</f>
        <v>0</v>
      </c>
      <c r="G24" s="2">
        <f>'Edo-Re'!G36</f>
        <v>0</v>
      </c>
      <c r="H24" s="2">
        <f>'Edo-Re'!H36</f>
        <v>0</v>
      </c>
      <c r="I24" s="2">
        <f>'Edo-Re'!I36</f>
        <v>0</v>
      </c>
      <c r="J24" s="2">
        <f>'Edo-Re'!J36</f>
        <v>0</v>
      </c>
    </row>
    <row r="25" spans="1:10" x14ac:dyDescent="0.2">
      <c r="A25" s="2" t="s">
        <v>258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">
      <c r="A26" s="11" t="s">
        <v>259</v>
      </c>
      <c r="B26" s="11">
        <v>0</v>
      </c>
      <c r="C26" s="11">
        <f>Balance!B46-Balance!C46</f>
        <v>0</v>
      </c>
      <c r="D26" s="11">
        <f>Balance!C46-Balance!D46</f>
        <v>0</v>
      </c>
      <c r="E26" s="11">
        <f>Balance!D46-Balance!E46</f>
        <v>0</v>
      </c>
      <c r="F26" s="11">
        <f>Balance!E46-Balance!F46</f>
        <v>1000</v>
      </c>
      <c r="G26" s="11">
        <f>Balance!F46-Balance!G46</f>
        <v>0</v>
      </c>
      <c r="H26" s="11">
        <f>Balance!G46-Balance!H46</f>
        <v>0</v>
      </c>
      <c r="I26" s="11">
        <f>Balance!H46-Balance!I46</f>
        <v>0</v>
      </c>
      <c r="J26" s="11">
        <f>Balance!I46-Balance!J46</f>
        <v>0</v>
      </c>
    </row>
    <row r="27" spans="1:10" x14ac:dyDescent="0.2">
      <c r="A27" s="11" t="s">
        <v>260</v>
      </c>
      <c r="B27" s="11">
        <v>0</v>
      </c>
      <c r="C27" s="11">
        <f>Balance!B38</f>
        <v>4469682</v>
      </c>
      <c r="D27" s="11">
        <f>Balance!C38</f>
        <v>15336602.399999999</v>
      </c>
      <c r="E27" s="11">
        <f>Balance!D38</f>
        <v>17600327.283</v>
      </c>
      <c r="F27" s="11">
        <f>Balance!E38</f>
        <v>20878816.606725</v>
      </c>
      <c r="G27" s="11">
        <f>Balance!F38</f>
        <v>19736825.342965499</v>
      </c>
      <c r="H27" s="11">
        <f>Balance!G38</f>
        <v>0</v>
      </c>
      <c r="I27" s="11">
        <f>Balance!H38</f>
        <v>0</v>
      </c>
      <c r="J27" s="11">
        <f>Balance!I38</f>
        <v>0</v>
      </c>
    </row>
    <row r="28" spans="1:10" x14ac:dyDescent="0.2">
      <c r="A28" s="11" t="s">
        <v>261</v>
      </c>
      <c r="B28" s="11">
        <v>0</v>
      </c>
      <c r="C28" s="11">
        <f>Balance!B39</f>
        <v>3613500</v>
      </c>
      <c r="D28" s="11">
        <f>Balance!C39</f>
        <v>54831270.899999991</v>
      </c>
      <c r="E28" s="11">
        <f>Balance!D39</f>
        <v>65508804.240000002</v>
      </c>
      <c r="F28" s="11">
        <f>Balance!E39</f>
        <v>78582030.48300001</v>
      </c>
      <c r="G28" s="11">
        <f>Balance!F39</f>
        <v>86484827.993767515</v>
      </c>
      <c r="H28" s="11">
        <f>Balance!G39</f>
        <v>0</v>
      </c>
      <c r="I28" s="11">
        <f>Balance!H39</f>
        <v>0</v>
      </c>
      <c r="J28" s="11">
        <f>Balance!I39</f>
        <v>0</v>
      </c>
    </row>
    <row r="29" spans="1:10" x14ac:dyDescent="0.2">
      <c r="A29" s="11" t="s">
        <v>262</v>
      </c>
      <c r="B29" s="11">
        <v>0</v>
      </c>
      <c r="C29" s="11">
        <f>Balance!B40</f>
        <v>19339932</v>
      </c>
      <c r="D29" s="11">
        <f>Balance!C40</f>
        <v>21467688</v>
      </c>
      <c r="E29" s="11">
        <f>Balance!D40</f>
        <v>20390389.200000003</v>
      </c>
      <c r="F29" s="11">
        <f>Balance!E40</f>
        <v>21872269.200000003</v>
      </c>
      <c r="G29" s="11">
        <f>Balance!F40</f>
        <v>11088376.800000001</v>
      </c>
      <c r="H29" s="11">
        <f>Balance!G40</f>
        <v>0</v>
      </c>
      <c r="I29" s="11">
        <f>Balance!H40</f>
        <v>0</v>
      </c>
      <c r="J29" s="11">
        <f>Balance!I40</f>
        <v>0</v>
      </c>
    </row>
    <row r="30" spans="1:10" x14ac:dyDescent="0.2">
      <c r="A30" s="11" t="s">
        <v>263</v>
      </c>
      <c r="B30" s="11">
        <v>0</v>
      </c>
      <c r="C30" s="11">
        <f>Balance!B41</f>
        <v>0</v>
      </c>
      <c r="D30" s="11">
        <f>Balance!C41</f>
        <v>0</v>
      </c>
      <c r="E30" s="11">
        <f>Balance!D41</f>
        <v>0</v>
      </c>
      <c r="F30" s="11">
        <f>Balance!E41</f>
        <v>0</v>
      </c>
      <c r="G30" s="11">
        <f>Balance!F41</f>
        <v>0</v>
      </c>
      <c r="H30" s="11">
        <f>Balance!G41</f>
        <v>0</v>
      </c>
      <c r="I30" s="11">
        <f>Balance!H41</f>
        <v>0</v>
      </c>
      <c r="J30" s="11">
        <f>Balance!I41</f>
        <v>0</v>
      </c>
    </row>
    <row r="31" spans="1:10" x14ac:dyDescent="0.2">
      <c r="A31" s="11" t="s">
        <v>264</v>
      </c>
      <c r="B31" s="11">
        <f>'Edo-Re'!B41</f>
        <v>0</v>
      </c>
      <c r="C31" s="11">
        <f>'Edo-Re'!C41</f>
        <v>0</v>
      </c>
      <c r="D31" s="11">
        <f>'Edo-Re'!D41</f>
        <v>0</v>
      </c>
      <c r="E31" s="11">
        <f>'Edo-Re'!E41</f>
        <v>0</v>
      </c>
      <c r="F31" s="11">
        <f>'Edo-Re'!F41</f>
        <v>0</v>
      </c>
      <c r="G31" s="11">
        <f>'Edo-Re'!G41</f>
        <v>0</v>
      </c>
      <c r="H31" s="11">
        <f>'Edo-Re'!H41</f>
        <v>0</v>
      </c>
      <c r="I31" s="11">
        <f>'Edo-Re'!I41</f>
        <v>0</v>
      </c>
      <c r="J31" s="11">
        <f>'Edo-Re'!J41</f>
        <v>0</v>
      </c>
    </row>
    <row r="32" spans="1:10" x14ac:dyDescent="0.2">
      <c r="A32" s="11" t="s">
        <v>265</v>
      </c>
      <c r="B32" s="11">
        <f>Balance!B30</f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</row>
    <row r="33" spans="1:10" x14ac:dyDescent="0.2">
      <c r="A33" s="11" t="s">
        <v>266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13.5" thickBot="1" x14ac:dyDescent="0.25">
      <c r="A35" s="4" t="s">
        <v>267</v>
      </c>
      <c r="B35" s="4">
        <f>SUM(B13:B34)</f>
        <v>175136557</v>
      </c>
      <c r="C35" s="4">
        <f t="shared" ref="C35:J35" si="3">SUM(C13:C33)</f>
        <v>576323812.39999998</v>
      </c>
      <c r="D35" s="4">
        <f t="shared" si="3"/>
        <v>646860822.27349997</v>
      </c>
      <c r="E35" s="4">
        <f t="shared" si="3"/>
        <v>760320100.38826239</v>
      </c>
      <c r="F35" s="4">
        <f t="shared" si="3"/>
        <v>724408210.03617978</v>
      </c>
      <c r="G35" s="4">
        <f t="shared" si="3"/>
        <v>-14268805.483037006</v>
      </c>
      <c r="H35" s="4">
        <f t="shared" si="3"/>
        <v>0</v>
      </c>
      <c r="I35" s="4">
        <f t="shared" si="3"/>
        <v>0</v>
      </c>
      <c r="J35" s="4">
        <f t="shared" si="3"/>
        <v>0</v>
      </c>
    </row>
    <row r="36" spans="1:10" ht="13.5" thickTop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13.5" thickBot="1" x14ac:dyDescent="0.25">
      <c r="A37" s="3" t="s">
        <v>268</v>
      </c>
      <c r="B37" s="3">
        <f>(B10-B35)</f>
        <v>-21641475</v>
      </c>
      <c r="C37" s="3">
        <f t="shared" ref="C37:J37" si="4">C10-C35</f>
        <v>-71408605</v>
      </c>
      <c r="D37" s="3">
        <f t="shared" si="4"/>
        <v>-113991523.89049995</v>
      </c>
      <c r="E37" s="3">
        <f t="shared" si="4"/>
        <v>-157472254.11453736</v>
      </c>
      <c r="F37" s="3">
        <f t="shared" si="4"/>
        <v>-204249460.70890164</v>
      </c>
      <c r="G37" s="3">
        <f t="shared" si="4"/>
        <v>-189980655.22586465</v>
      </c>
      <c r="H37" s="3">
        <f t="shared" si="4"/>
        <v>-189980655.22586465</v>
      </c>
      <c r="I37" s="3">
        <f t="shared" si="4"/>
        <v>-189980655.22586465</v>
      </c>
      <c r="J37" s="3">
        <f t="shared" si="4"/>
        <v>-189980655.22586465</v>
      </c>
    </row>
    <row r="39" spans="1:10" x14ac:dyDescent="0.2">
      <c r="A39" t="s">
        <v>297</v>
      </c>
      <c r="B39" s="16" t="e">
        <f>IRR(B37:J37,)</f>
        <v>#NUM!</v>
      </c>
    </row>
  </sheetData>
  <phoneticPr fontId="2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topLeftCell="A7" workbookViewId="0">
      <selection activeCell="G4" sqref="G4"/>
    </sheetView>
  </sheetViews>
  <sheetFormatPr baseColWidth="10" defaultRowHeight="12.75" x14ac:dyDescent="0.2"/>
  <cols>
    <col min="1" max="1" width="31.5703125" style="159" customWidth="1"/>
    <col min="2" max="4" width="12.85546875" style="159" bestFit="1" customWidth="1"/>
    <col min="5" max="10" width="13.85546875" style="159" bestFit="1" customWidth="1"/>
    <col min="11" max="16384" width="11.42578125" style="159"/>
  </cols>
  <sheetData>
    <row r="1" spans="1:10" x14ac:dyDescent="0.2">
      <c r="A1" s="171" t="s">
        <v>269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x14ac:dyDescent="0.2">
      <c r="A2" s="160"/>
      <c r="B2" s="151">
        <v>2020</v>
      </c>
      <c r="C2" s="151">
        <f>B2+1</f>
        <v>2021</v>
      </c>
      <c r="D2" s="151">
        <f t="shared" ref="D2:J2" si="0">C2+1</f>
        <v>2022</v>
      </c>
      <c r="E2" s="151">
        <f t="shared" si="0"/>
        <v>2023</v>
      </c>
      <c r="F2" s="151">
        <f t="shared" si="0"/>
        <v>2024</v>
      </c>
      <c r="G2" s="151">
        <f t="shared" si="0"/>
        <v>2025</v>
      </c>
      <c r="H2" s="151">
        <f t="shared" si="0"/>
        <v>2026</v>
      </c>
      <c r="I2" s="151">
        <f t="shared" si="0"/>
        <v>2027</v>
      </c>
      <c r="J2" s="151">
        <f t="shared" si="0"/>
        <v>2028</v>
      </c>
    </row>
    <row r="3" spans="1:10" x14ac:dyDescent="0.2">
      <c r="A3" s="160" t="s">
        <v>270</v>
      </c>
      <c r="B3" s="160"/>
      <c r="C3" s="160"/>
      <c r="D3" s="160"/>
      <c r="E3" s="160"/>
      <c r="F3" s="160"/>
      <c r="G3" s="160"/>
      <c r="H3" s="160"/>
      <c r="I3" s="160"/>
      <c r="J3" s="160"/>
    </row>
    <row r="4" spans="1:10" ht="13.5" thickBot="1" x14ac:dyDescent="0.25">
      <c r="A4" s="166" t="s">
        <v>271</v>
      </c>
      <c r="B4" s="166">
        <f>Balance!B15/Balance!B43</f>
        <v>0.35212649446011129</v>
      </c>
      <c r="C4" s="166">
        <f>Balance!C15/Balance!C43</f>
        <v>0.35286967789872647</v>
      </c>
      <c r="D4" s="166">
        <f>Balance!D15/Balance!D43</f>
        <v>4.6802065320323979E-2</v>
      </c>
      <c r="E4" s="166">
        <f>Balance!E15/Balance!E43</f>
        <v>-0.13829813258046483</v>
      </c>
      <c r="F4" s="166">
        <f>Balance!F15/Balance!F43</f>
        <v>-0.60668831988345162</v>
      </c>
      <c r="G4" s="166" t="e">
        <f>Balance!G15/Balance!G43</f>
        <v>#DIV/0!</v>
      </c>
      <c r="H4" s="166" t="e">
        <f>Balance!H15/Balance!H43</f>
        <v>#DIV/0!</v>
      </c>
      <c r="I4" s="166" t="e">
        <f>Balance!I15/Balance!I43</f>
        <v>#DIV/0!</v>
      </c>
      <c r="J4" s="166" t="e">
        <f>Balance!J15/Balance!J43</f>
        <v>#DIV/0!</v>
      </c>
    </row>
    <row r="5" spans="1:10" ht="13.5" thickTop="1" x14ac:dyDescent="0.2">
      <c r="A5" s="160" t="s">
        <v>272</v>
      </c>
      <c r="B5" s="160"/>
      <c r="C5" s="160"/>
      <c r="D5" s="160"/>
      <c r="E5" s="160"/>
      <c r="F5" s="160"/>
      <c r="G5" s="160"/>
      <c r="H5" s="160"/>
      <c r="I5" s="160"/>
      <c r="J5" s="160"/>
    </row>
    <row r="6" spans="1:10" ht="13.5" thickBot="1" x14ac:dyDescent="0.25">
      <c r="A6" s="166" t="s">
        <v>273</v>
      </c>
      <c r="B6" s="166">
        <f>(Balance!B15-SUM(Balance!B8:B10))/Balance!B43</f>
        <v>-0.73447074610126328</v>
      </c>
      <c r="C6" s="166">
        <f>(Balance!C15-SUM(Balance!C8:C10))/Balance!C43</f>
        <v>-0.76289820249073992</v>
      </c>
      <c r="D6" s="166">
        <f>(Balance!D15-SUM(Balance!D8:D10))/Balance!D43</f>
        <v>-1.0868796599702679</v>
      </c>
      <c r="E6" s="166">
        <f>(Balance!E15-SUM(Balance!E8:E10))/Balance!E43</f>
        <v>-1.2854879103418011</v>
      </c>
      <c r="F6" s="166">
        <f>(Balance!F15-SUM(Balance!F8:F10))/Balance!F43</f>
        <v>-1.72832161472112</v>
      </c>
      <c r="G6" s="166" t="e">
        <f>(Balance!G15-SUM(Balance!G8:G10))/Balance!G43</f>
        <v>#DIV/0!</v>
      </c>
      <c r="H6" s="166" t="e">
        <f>(Balance!H15-SUM(Balance!H8:H10))/Balance!H43</f>
        <v>#DIV/0!</v>
      </c>
      <c r="I6" s="166" t="e">
        <f>(Balance!I15-SUM(Balance!I8:I10))/Balance!I43</f>
        <v>#DIV/0!</v>
      </c>
      <c r="J6" s="166" t="e">
        <f>(Balance!J15-SUM(Balance!J8:J10))/Balance!J43</f>
        <v>#DIV/0!</v>
      </c>
    </row>
    <row r="7" spans="1:10" ht="13.5" thickTop="1" x14ac:dyDescent="0.2">
      <c r="A7" s="160" t="s">
        <v>274</v>
      </c>
      <c r="B7" s="160"/>
      <c r="C7" s="160"/>
      <c r="D7" s="160"/>
      <c r="E7" s="160"/>
      <c r="F7" s="160"/>
      <c r="G7" s="160"/>
      <c r="H7" s="160"/>
      <c r="I7" s="160"/>
      <c r="J7" s="160"/>
    </row>
    <row r="8" spans="1:10" ht="13.5" thickBot="1" x14ac:dyDescent="0.25">
      <c r="A8" s="166" t="s">
        <v>275</v>
      </c>
      <c r="B8" s="166">
        <f>Balance!B15-Balance!B43</f>
        <v>-17766709</v>
      </c>
      <c r="C8" s="166">
        <f>Balance!C15-Balance!C43</f>
        <v>-59300150.299999982</v>
      </c>
      <c r="D8" s="166">
        <f>Balance!D15-Balance!D43</f>
        <v>-98655529.393499941</v>
      </c>
      <c r="E8" s="166">
        <f>Balance!E15-Balance!E43</f>
        <v>-138113259.69276237</v>
      </c>
      <c r="F8" s="166">
        <f>Balance!F15-Balance!F43</f>
        <v>-188480655.22586465</v>
      </c>
      <c r="G8" s="166">
        <f>Balance!G15-Balance!G43</f>
        <v>-188480655.22586465</v>
      </c>
      <c r="H8" s="166">
        <f>Balance!H15-Balance!H43</f>
        <v>-188480655.22586465</v>
      </c>
      <c r="I8" s="166">
        <f>Balance!I15-Balance!I43</f>
        <v>-188480655.22586465</v>
      </c>
      <c r="J8" s="166">
        <f>Balance!J15-Balance!J43</f>
        <v>-188480655.22586465</v>
      </c>
    </row>
    <row r="9" spans="1:10" ht="13.5" thickTop="1" x14ac:dyDescent="0.2">
      <c r="A9" s="160" t="s">
        <v>276</v>
      </c>
      <c r="B9" s="160"/>
      <c r="C9" s="160"/>
      <c r="D9" s="160"/>
      <c r="E9" s="160"/>
      <c r="F9" s="160"/>
      <c r="G9" s="160"/>
      <c r="H9" s="160"/>
      <c r="I9" s="160"/>
      <c r="J9" s="160"/>
    </row>
    <row r="10" spans="1:10" x14ac:dyDescent="0.2">
      <c r="A10" s="160"/>
      <c r="B10" s="160"/>
      <c r="C10" s="160"/>
      <c r="D10" s="160"/>
      <c r="E10" s="160"/>
      <c r="F10" s="160"/>
      <c r="G10" s="160"/>
      <c r="H10" s="160"/>
      <c r="I10" s="160"/>
      <c r="J10" s="160"/>
    </row>
    <row r="11" spans="1:10" x14ac:dyDescent="0.2">
      <c r="A11" s="160" t="s">
        <v>277</v>
      </c>
      <c r="B11" s="160"/>
      <c r="C11" s="160"/>
      <c r="D11" s="160"/>
      <c r="E11" s="160"/>
      <c r="F11" s="160"/>
      <c r="G11" s="160"/>
      <c r="H11" s="160"/>
      <c r="I11" s="160"/>
      <c r="J11" s="160"/>
    </row>
    <row r="12" spans="1:10" ht="13.5" thickBot="1" x14ac:dyDescent="0.25">
      <c r="A12" s="166" t="s">
        <v>278</v>
      </c>
      <c r="B12" s="172">
        <f>Balance!B51/Balance!B35</f>
        <v>2.3965486312676334</v>
      </c>
      <c r="C12" s="172">
        <f>Balance!C51/Balance!C35</f>
        <v>2.7059697826267883</v>
      </c>
      <c r="D12" s="172">
        <f>Balance!D51/Balance!D35</f>
        <v>16.924053141184412</v>
      </c>
      <c r="E12" s="172">
        <f>Balance!E51/Balance!E35</f>
        <v>-7.6958706921901783</v>
      </c>
      <c r="F12" s="172">
        <f>Balance!F51/Balance!F35</f>
        <v>-1.6659996431222581</v>
      </c>
      <c r="G12" s="172">
        <f>Balance!G51/Balance!G35</f>
        <v>0</v>
      </c>
      <c r="H12" s="172">
        <f>Balance!H51/Balance!H35</f>
        <v>0</v>
      </c>
      <c r="I12" s="172">
        <f>Balance!I51/Balance!I35</f>
        <v>0</v>
      </c>
      <c r="J12" s="172">
        <f>Balance!J51/Balance!J35</f>
        <v>0</v>
      </c>
    </row>
    <row r="13" spans="1:10" ht="13.5" thickTop="1" x14ac:dyDescent="0.2">
      <c r="A13" s="160" t="s">
        <v>279</v>
      </c>
      <c r="B13" s="173"/>
      <c r="C13" s="173"/>
      <c r="D13" s="173"/>
      <c r="E13" s="173"/>
      <c r="F13" s="173"/>
      <c r="G13" s="173"/>
      <c r="H13" s="173"/>
      <c r="I13" s="173"/>
      <c r="J13" s="173"/>
    </row>
    <row r="14" spans="1:10" ht="13.5" thickBot="1" x14ac:dyDescent="0.25">
      <c r="A14" s="166" t="s">
        <v>278</v>
      </c>
      <c r="B14" s="172">
        <f>Balance!B58/Balance!B35</f>
        <v>-1.3965486312676332</v>
      </c>
      <c r="C14" s="172">
        <f>Balance!C58/Balance!C35</f>
        <v>-1.7059697826267877</v>
      </c>
      <c r="D14" s="172">
        <f>Balance!D58/Balance!D35</f>
        <v>-15.924053141184411</v>
      </c>
      <c r="E14" s="172">
        <f>Balance!E58/Balance!E35</f>
        <v>8.6958706921901801</v>
      </c>
      <c r="F14" s="172">
        <f>Balance!F58/Balance!F35</f>
        <v>2.6659996431222597</v>
      </c>
      <c r="G14" s="172">
        <f>Balance!G58/Balance!G35</f>
        <v>1.0000000000000004</v>
      </c>
      <c r="H14" s="172">
        <f>Balance!H58/Balance!H35</f>
        <v>1.0000000000000004</v>
      </c>
      <c r="I14" s="172">
        <f>Balance!I58/Balance!I35</f>
        <v>1.0000000000000004</v>
      </c>
      <c r="J14" s="172">
        <f>Balance!J58/Balance!J35</f>
        <v>1.0000000000000004</v>
      </c>
    </row>
    <row r="15" spans="1:10" ht="13.5" thickTop="1" x14ac:dyDescent="0.2">
      <c r="A15" s="160" t="s">
        <v>280</v>
      </c>
      <c r="B15" s="160"/>
      <c r="C15" s="160"/>
      <c r="D15" s="160"/>
      <c r="E15" s="160"/>
      <c r="F15" s="160"/>
      <c r="G15" s="160"/>
      <c r="H15" s="160"/>
      <c r="I15" s="160"/>
      <c r="J15" s="160"/>
    </row>
    <row r="16" spans="1:10" x14ac:dyDescent="0.2">
      <c r="A16" s="160"/>
      <c r="B16" s="160"/>
      <c r="C16" s="160"/>
      <c r="D16" s="160"/>
      <c r="E16" s="160"/>
      <c r="F16" s="160"/>
      <c r="G16" s="160"/>
      <c r="H16" s="160"/>
      <c r="I16" s="160"/>
      <c r="J16" s="160"/>
    </row>
    <row r="17" spans="1:10" x14ac:dyDescent="0.2">
      <c r="A17" s="160" t="s">
        <v>281</v>
      </c>
      <c r="B17" s="160"/>
      <c r="C17" s="160"/>
      <c r="D17" s="160"/>
      <c r="E17" s="160"/>
      <c r="F17" s="160"/>
      <c r="G17" s="160"/>
      <c r="H17" s="160"/>
      <c r="I17" s="160"/>
      <c r="J17" s="160"/>
    </row>
    <row r="18" spans="1:10" ht="13.5" thickBot="1" x14ac:dyDescent="0.25">
      <c r="A18" s="166" t="s">
        <v>282</v>
      </c>
      <c r="B18" s="166">
        <f>'Edo-Re'!B8/Balance!B35</f>
        <v>13.019940868222248</v>
      </c>
      <c r="C18" s="166">
        <f>'Edo-Re'!C8/Balance!C35</f>
        <v>15.096006104192929</v>
      </c>
      <c r="D18" s="166">
        <f>'Edo-Re'!D8/Balance!D35</f>
        <v>95.931521941137802</v>
      </c>
      <c r="E18" s="166">
        <f>'Edo-Re'!E8/Balance!E35</f>
        <v>-44.142757130684956</v>
      </c>
      <c r="F18" s="166">
        <f>'Edo-Re'!F8/Balance!F35</f>
        <v>-9.3432033445679892</v>
      </c>
      <c r="G18" s="166">
        <f>'Edo-Re'!G8/Balance!G35</f>
        <v>0</v>
      </c>
      <c r="H18" s="166">
        <f>'Edo-Re'!H8/Balance!H35</f>
        <v>0</v>
      </c>
      <c r="I18" s="166">
        <f>'Edo-Re'!I8/Balance!I35</f>
        <v>0</v>
      </c>
      <c r="J18" s="166">
        <f>'Edo-Re'!J8/Balance!J35</f>
        <v>0</v>
      </c>
    </row>
    <row r="19" spans="1:10" ht="13.5" thickTop="1" x14ac:dyDescent="0.2">
      <c r="A19" s="160" t="s">
        <v>283</v>
      </c>
      <c r="B19" s="160"/>
      <c r="C19" s="160"/>
      <c r="D19" s="160"/>
      <c r="E19" s="160"/>
      <c r="F19" s="160"/>
      <c r="G19" s="160"/>
      <c r="H19" s="160"/>
      <c r="I19" s="160"/>
      <c r="J19" s="160"/>
    </row>
    <row r="20" spans="1:10" ht="13.5" thickBot="1" x14ac:dyDescent="0.25">
      <c r="A20" s="166" t="s">
        <v>284</v>
      </c>
      <c r="B20" s="166">
        <f>(SUM(Balance!B8:B10)/'Edo-Re'!B21)*360</f>
        <v>69.210525409134732</v>
      </c>
      <c r="C20" s="166">
        <f>(SUM(Balance!C8:C10)/'Edo-Re'!C21)*360</f>
        <v>70.849143541973191</v>
      </c>
      <c r="D20" s="166">
        <f>(SUM(Balance!D8:D10)/'Edo-Re'!D21)*360</f>
        <v>71.850422858968898</v>
      </c>
      <c r="E20" s="166">
        <f>(SUM(Balance!E8:E10)/'Edo-Re'!E21)*360</f>
        <v>72.602941693301318</v>
      </c>
      <c r="F20" s="166">
        <f>(SUM(Balance!F8:F10)/'Edo-Re'!F21)*360</f>
        <v>71.177403725303719</v>
      </c>
      <c r="G20" s="166" t="e">
        <f>(SUM(Balance!G8:G10)/'Edo-Re'!G21)*360</f>
        <v>#DIV/0!</v>
      </c>
      <c r="H20" s="166" t="e">
        <f>(SUM(Balance!H8:H10)/'Edo-Re'!H21)*360</f>
        <v>#DIV/0!</v>
      </c>
      <c r="I20" s="166" t="e">
        <f>(SUM(Balance!I8:I10)/'Edo-Re'!I21)*360</f>
        <v>#DIV/0!</v>
      </c>
      <c r="J20" s="166" t="e">
        <f>(SUM(Balance!J8:J10)/'Edo-Re'!J21)*360</f>
        <v>#DIV/0!</v>
      </c>
    </row>
    <row r="21" spans="1:10" ht="13.5" thickTop="1" x14ac:dyDescent="0.2">
      <c r="A21" s="160" t="s">
        <v>285</v>
      </c>
      <c r="B21" s="160"/>
      <c r="C21" s="160"/>
      <c r="D21" s="160"/>
      <c r="E21" s="160"/>
      <c r="F21" s="160"/>
      <c r="G21" s="160"/>
      <c r="H21" s="160"/>
      <c r="I21" s="160"/>
      <c r="J21" s="160"/>
    </row>
    <row r="22" spans="1:10" ht="13.5" thickBot="1" x14ac:dyDescent="0.25">
      <c r="A22" s="166" t="s">
        <v>286</v>
      </c>
      <c r="B22" s="166">
        <f>(SUM(Balance!B39:B41)/'Edo-Re'!B21)*360</f>
        <v>53.31315813953362</v>
      </c>
      <c r="C22" s="166">
        <f>(SUM(Balance!C39:C41)/'Edo-Re'!C21)*360</f>
        <v>52.870731243667237</v>
      </c>
      <c r="D22" s="166">
        <f>(SUM(Balance!D39:D41)/'Edo-Re'!D21)*360</f>
        <v>52.600385828078409</v>
      </c>
      <c r="E22" s="166">
        <f>(SUM(Balance!E39:E41)/'Edo-Re'!E21)*360</f>
        <v>52.397205742808659</v>
      </c>
      <c r="F22" s="166">
        <f>(SUM(Balance!F39:F41)/'Edo-Re'!F21)*360</f>
        <v>52.78210099416799</v>
      </c>
      <c r="G22" s="166" t="e">
        <f>(SUM(Balance!G39:G41)/'Edo-Re'!G21)*360</f>
        <v>#DIV/0!</v>
      </c>
      <c r="H22" s="166" t="e">
        <f>(SUM(Balance!H39:H41)/'Edo-Re'!H21)*360</f>
        <v>#DIV/0!</v>
      </c>
      <c r="I22" s="166" t="e">
        <f>(SUM(Balance!I39:I41)/'Edo-Re'!I21)*360</f>
        <v>#DIV/0!</v>
      </c>
      <c r="J22" s="166" t="e">
        <f>(SUM(Balance!J39:J41)/'Edo-Re'!J21)*360</f>
        <v>#DIV/0!</v>
      </c>
    </row>
    <row r="23" spans="1:10" ht="13.5" thickTop="1" x14ac:dyDescent="0.2">
      <c r="A23" s="160" t="s">
        <v>287</v>
      </c>
      <c r="B23" s="160"/>
      <c r="C23" s="160"/>
      <c r="D23" s="160"/>
      <c r="E23" s="160"/>
      <c r="F23" s="160"/>
      <c r="G23" s="160"/>
      <c r="H23" s="160"/>
      <c r="I23" s="160"/>
      <c r="J23" s="160"/>
    </row>
    <row r="24" spans="1:10" x14ac:dyDescent="0.2">
      <c r="A24" s="160"/>
      <c r="B24" s="160"/>
      <c r="C24" s="160"/>
      <c r="D24" s="160"/>
      <c r="E24" s="160"/>
      <c r="F24" s="160"/>
      <c r="G24" s="160"/>
      <c r="H24" s="160"/>
      <c r="I24" s="160"/>
      <c r="J24" s="160"/>
    </row>
    <row r="25" spans="1:10" x14ac:dyDescent="0.2">
      <c r="A25" s="160" t="s">
        <v>288</v>
      </c>
      <c r="B25" s="160"/>
      <c r="C25" s="160"/>
      <c r="D25" s="160"/>
      <c r="E25" s="160"/>
      <c r="F25" s="160"/>
      <c r="G25" s="160"/>
      <c r="H25" s="160"/>
      <c r="I25" s="160"/>
      <c r="J25" s="160"/>
    </row>
    <row r="26" spans="1:10" ht="13.5" thickBot="1" x14ac:dyDescent="0.25">
      <c r="A26" s="166" t="s">
        <v>289</v>
      </c>
      <c r="B26" s="172">
        <f>'Edo-Re'!B43/'Edo-Re'!B8</f>
        <v>-0.10703307584297943</v>
      </c>
      <c r="C26" s="172">
        <f>'Edo-Re'!C43/'Edo-Re'!C8</f>
        <v>-8.1747622374301027E-2</v>
      </c>
      <c r="D26" s="172">
        <f>'Edo-Re'!D43/'Edo-Re'!D8</f>
        <v>-6.7520841868256229E-2</v>
      </c>
      <c r="E26" s="172">
        <f>'Edo-Re'!E43/'Edo-Re'!E8</f>
        <v>-5.7065468504288196E-2</v>
      </c>
      <c r="F26" s="172">
        <f>'Edo-Re'!F43/'Edo-Re'!F8</f>
        <v>-7.694851538190077E-2</v>
      </c>
      <c r="G26" s="172" t="e">
        <f>'Edo-Re'!G43/'Edo-Re'!G8</f>
        <v>#DIV/0!</v>
      </c>
      <c r="H26" s="172" t="e">
        <f>'Edo-Re'!H43/'Edo-Re'!H8</f>
        <v>#DIV/0!</v>
      </c>
      <c r="I26" s="172" t="e">
        <f>'Edo-Re'!I43/'Edo-Re'!I8</f>
        <v>#DIV/0!</v>
      </c>
      <c r="J26" s="172" t="e">
        <f>'Edo-Re'!J43/'Edo-Re'!J8</f>
        <v>#DIV/0!</v>
      </c>
    </row>
    <row r="27" spans="1:10" ht="13.5" thickTop="1" x14ac:dyDescent="0.2">
      <c r="A27" s="160" t="s">
        <v>290</v>
      </c>
      <c r="B27" s="173"/>
      <c r="C27" s="173"/>
      <c r="D27" s="173"/>
      <c r="E27" s="173"/>
      <c r="F27" s="173"/>
      <c r="G27" s="173"/>
      <c r="H27" s="173"/>
      <c r="I27" s="173"/>
      <c r="J27" s="173"/>
    </row>
    <row r="28" spans="1:10" ht="13.5" thickBot="1" x14ac:dyDescent="0.25">
      <c r="A28" s="166" t="s">
        <v>291</v>
      </c>
      <c r="B28" s="172">
        <f>'Edo-Re'!B34/'Edo-Re'!B8</f>
        <v>-0.10703307584297943</v>
      </c>
      <c r="C28" s="172">
        <f>'Edo-Re'!C34/'Edo-Re'!C8</f>
        <v>-8.1747622374301027E-2</v>
      </c>
      <c r="D28" s="172">
        <f>'Edo-Re'!D34/'Edo-Re'!D8</f>
        <v>-6.7520841868256229E-2</v>
      </c>
      <c r="E28" s="172">
        <f>'Edo-Re'!E34/'Edo-Re'!E8</f>
        <v>-5.7065468504288196E-2</v>
      </c>
      <c r="F28" s="172">
        <f>'Edo-Re'!F34/'Edo-Re'!F8</f>
        <v>-7.694851538190077E-2</v>
      </c>
      <c r="G28" s="172" t="e">
        <f>'Edo-Re'!G34/'Edo-Re'!G8</f>
        <v>#DIV/0!</v>
      </c>
      <c r="H28" s="172" t="e">
        <f>'Edo-Re'!H34/'Edo-Re'!H8</f>
        <v>#DIV/0!</v>
      </c>
      <c r="I28" s="172" t="e">
        <f>'Edo-Re'!I34/'Edo-Re'!I8</f>
        <v>#DIV/0!</v>
      </c>
      <c r="J28" s="172" t="e">
        <f>'Edo-Re'!J34/'Edo-Re'!J8</f>
        <v>#DIV/0!</v>
      </c>
    </row>
    <row r="29" spans="1:10" ht="13.5" thickTop="1" x14ac:dyDescent="0.2"/>
  </sheetData>
  <phoneticPr fontId="2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F13" sqref="F13"/>
    </sheetView>
  </sheetViews>
  <sheetFormatPr baseColWidth="10" defaultRowHeight="12.75" x14ac:dyDescent="0.2"/>
  <cols>
    <col min="1" max="1" width="42.140625" customWidth="1"/>
  </cols>
  <sheetData>
    <row r="1" spans="1:10" x14ac:dyDescent="0.2">
      <c r="A1" t="s">
        <v>16</v>
      </c>
    </row>
    <row r="2" spans="1:10" x14ac:dyDescent="0.2">
      <c r="B2" s="151">
        <v>2020</v>
      </c>
      <c r="C2" s="151">
        <f>B2+1</f>
        <v>2021</v>
      </c>
      <c r="D2" s="151">
        <f t="shared" ref="D2:J2" si="0">C2+1</f>
        <v>2022</v>
      </c>
      <c r="E2" s="151">
        <f t="shared" si="0"/>
        <v>2023</v>
      </c>
      <c r="F2" s="151">
        <f t="shared" si="0"/>
        <v>2024</v>
      </c>
      <c r="G2" s="151">
        <f t="shared" si="0"/>
        <v>2025</v>
      </c>
      <c r="H2" s="151">
        <f t="shared" si="0"/>
        <v>2026</v>
      </c>
      <c r="I2" s="151">
        <f t="shared" si="0"/>
        <v>2027</v>
      </c>
      <c r="J2" s="151">
        <f t="shared" si="0"/>
        <v>2028</v>
      </c>
    </row>
    <row r="3" spans="1:10" x14ac:dyDescent="0.2">
      <c r="A3" t="s">
        <v>17</v>
      </c>
      <c r="B3">
        <v>9</v>
      </c>
      <c r="C3">
        <v>9.35</v>
      </c>
      <c r="D3">
        <v>9.9499999999999993</v>
      </c>
      <c r="E3">
        <v>10.45</v>
      </c>
      <c r="F3">
        <v>11.2</v>
      </c>
      <c r="G3">
        <v>12</v>
      </c>
      <c r="H3">
        <v>12.3</v>
      </c>
      <c r="I3">
        <v>12.3</v>
      </c>
      <c r="J3">
        <v>12.3</v>
      </c>
    </row>
    <row r="4" spans="1:10" x14ac:dyDescent="0.2">
      <c r="A4" t="s">
        <v>18</v>
      </c>
      <c r="B4" s="8">
        <v>0.32</v>
      </c>
      <c r="C4" s="8">
        <v>0.3</v>
      </c>
      <c r="D4" s="8">
        <v>0.28000000000000003</v>
      </c>
      <c r="E4" s="8">
        <v>0.21</v>
      </c>
      <c r="F4" s="8">
        <v>0.18</v>
      </c>
      <c r="G4" s="8">
        <v>0.16</v>
      </c>
      <c r="H4" s="8">
        <v>0.15</v>
      </c>
      <c r="I4" s="8">
        <v>0.15</v>
      </c>
      <c r="J4" s="8">
        <v>0.15</v>
      </c>
    </row>
    <row r="5" spans="1:10" x14ac:dyDescent="0.2">
      <c r="A5" t="s">
        <v>19</v>
      </c>
      <c r="B5" s="8">
        <v>0.28000000000000003</v>
      </c>
      <c r="C5" s="8">
        <v>0.25</v>
      </c>
      <c r="D5" s="8">
        <v>0.27</v>
      </c>
      <c r="E5" s="8">
        <v>0.27</v>
      </c>
      <c r="F5" s="8">
        <v>0.24</v>
      </c>
      <c r="G5" s="8">
        <v>0.24</v>
      </c>
      <c r="H5" s="8">
        <v>0.25</v>
      </c>
      <c r="I5" s="8">
        <v>0.25</v>
      </c>
      <c r="J5" s="8">
        <v>0.25</v>
      </c>
    </row>
    <row r="6" spans="1:10" x14ac:dyDescent="0.2">
      <c r="A6" t="s">
        <v>20</v>
      </c>
      <c r="B6" s="8">
        <v>0.33200000000000002</v>
      </c>
      <c r="C6" s="8">
        <v>0.28699999999999998</v>
      </c>
      <c r="D6" s="8">
        <v>0.28000000000000003</v>
      </c>
      <c r="E6" s="8">
        <v>0.28299999999999997</v>
      </c>
      <c r="F6" s="8">
        <v>0.27200000000000002</v>
      </c>
      <c r="G6" s="8">
        <v>0.27</v>
      </c>
      <c r="H6" s="8">
        <v>0.26800000000000002</v>
      </c>
      <c r="I6" s="8">
        <v>0.26800000000000002</v>
      </c>
      <c r="J6" s="8">
        <v>0.26</v>
      </c>
    </row>
    <row r="7" spans="1:10" x14ac:dyDescent="0.2">
      <c r="A7" t="s">
        <v>21</v>
      </c>
      <c r="B7" s="8"/>
      <c r="C7" s="8"/>
      <c r="D7" s="8"/>
      <c r="E7" s="8"/>
      <c r="F7" s="8"/>
      <c r="G7" s="8"/>
      <c r="H7" s="8"/>
      <c r="I7" s="8"/>
      <c r="J7" s="8">
        <v>0.08</v>
      </c>
    </row>
    <row r="8" spans="1:10" x14ac:dyDescent="0.2">
      <c r="A8" t="s">
        <v>22</v>
      </c>
      <c r="B8" s="8">
        <v>7.6999999999999999E-2</v>
      </c>
      <c r="C8" s="8">
        <v>7.9000000000000001E-2</v>
      </c>
      <c r="D8" s="8">
        <v>7.5999999999999998E-2</v>
      </c>
      <c r="E8" s="8">
        <v>7.1999999999999995E-2</v>
      </c>
      <c r="F8" s="8">
        <v>6.8500000000000005E-2</v>
      </c>
      <c r="G8" s="8">
        <v>6.9000000000000006E-2</v>
      </c>
      <c r="H8" s="8">
        <v>7.2999999999999995E-2</v>
      </c>
      <c r="I8" s="8">
        <v>7.2999999999999995E-2</v>
      </c>
      <c r="J8" s="8">
        <v>7.2999999999999995E-2</v>
      </c>
    </row>
    <row r="9" spans="1:10" x14ac:dyDescent="0.2">
      <c r="A9" t="s">
        <v>23</v>
      </c>
    </row>
    <row r="10" spans="1:10" x14ac:dyDescent="0.2">
      <c r="A10" t="s">
        <v>24</v>
      </c>
      <c r="B10" s="8">
        <v>0.18</v>
      </c>
      <c r="C10" s="8">
        <v>0.15</v>
      </c>
      <c r="D10" s="8">
        <v>0.1</v>
      </c>
      <c r="E10" s="8">
        <v>7.4999999999999997E-2</v>
      </c>
      <c r="F10" s="8">
        <v>7.0000000000000007E-2</v>
      </c>
      <c r="G10" s="8">
        <v>6.5600000000000006E-2</v>
      </c>
      <c r="H10" s="8">
        <v>6.1199999999999997E-2</v>
      </c>
      <c r="I10" s="8">
        <v>6.1199999999999997E-2</v>
      </c>
      <c r="J10" s="8">
        <v>6.1199999999999997E-2</v>
      </c>
    </row>
    <row r="11" spans="1:10" x14ac:dyDescent="0.2">
      <c r="A11" t="s">
        <v>25</v>
      </c>
      <c r="B11">
        <v>4.3</v>
      </c>
      <c r="C11">
        <v>3.4</v>
      </c>
      <c r="D11">
        <v>3.4</v>
      </c>
      <c r="E11">
        <v>3.4</v>
      </c>
      <c r="F11">
        <v>3.4</v>
      </c>
      <c r="G11">
        <v>3.4</v>
      </c>
      <c r="H11">
        <v>3.4</v>
      </c>
      <c r="I11">
        <v>3.4</v>
      </c>
      <c r="J11">
        <v>3.4</v>
      </c>
    </row>
    <row r="12" spans="1:10" x14ac:dyDescent="0.2">
      <c r="A12" t="s">
        <v>26</v>
      </c>
      <c r="B12">
        <v>0.34</v>
      </c>
      <c r="C12">
        <v>0.34</v>
      </c>
      <c r="D12">
        <v>0.34</v>
      </c>
      <c r="E12">
        <v>0.34</v>
      </c>
      <c r="F12">
        <v>0.34</v>
      </c>
      <c r="G12">
        <v>0.34</v>
      </c>
      <c r="H12">
        <v>0.34</v>
      </c>
      <c r="I12">
        <v>0.34</v>
      </c>
      <c r="J12">
        <v>0.34</v>
      </c>
    </row>
    <row r="13" spans="1:10" x14ac:dyDescent="0.2">
      <c r="A13" t="s">
        <v>27</v>
      </c>
      <c r="B13">
        <v>1.8</v>
      </c>
      <c r="C13">
        <v>1.8</v>
      </c>
      <c r="D13">
        <v>1.8</v>
      </c>
      <c r="E13">
        <v>1.8</v>
      </c>
      <c r="F13">
        <v>1.8</v>
      </c>
      <c r="G13">
        <v>1.8</v>
      </c>
      <c r="H13">
        <v>1.8</v>
      </c>
      <c r="I13">
        <v>1.8</v>
      </c>
      <c r="J13">
        <v>1.8</v>
      </c>
    </row>
    <row r="14" spans="1:10" x14ac:dyDescent="0.2">
      <c r="A14" t="s">
        <v>28</v>
      </c>
      <c r="B14">
        <v>0.1</v>
      </c>
      <c r="C14">
        <v>0.1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0.1</v>
      </c>
    </row>
    <row r="18" spans="1:10" x14ac:dyDescent="0.2">
      <c r="A18" t="s">
        <v>29</v>
      </c>
      <c r="B18" s="151">
        <v>2020</v>
      </c>
      <c r="C18" s="151">
        <f>B18+1</f>
        <v>2021</v>
      </c>
      <c r="D18" s="151">
        <f t="shared" ref="D18" si="1">C18+1</f>
        <v>2022</v>
      </c>
      <c r="E18" s="151">
        <f t="shared" ref="E18" si="2">D18+1</f>
        <v>2023</v>
      </c>
      <c r="F18" s="151">
        <f t="shared" ref="F18" si="3">E18+1</f>
        <v>2024</v>
      </c>
      <c r="G18" s="151">
        <f t="shared" ref="G18" si="4">F18+1</f>
        <v>2025</v>
      </c>
      <c r="H18" s="151">
        <f t="shared" ref="H18" si="5">G18+1</f>
        <v>2026</v>
      </c>
      <c r="I18" s="151">
        <f t="shared" ref="I18" si="6">H18+1</f>
        <v>2027</v>
      </c>
      <c r="J18" s="151">
        <f t="shared" ref="J18" si="7">I18+1</f>
        <v>2028</v>
      </c>
    </row>
    <row r="19" spans="1:10" x14ac:dyDescent="0.2">
      <c r="A19" t="s">
        <v>30</v>
      </c>
      <c r="B19" s="16">
        <v>0.2</v>
      </c>
      <c r="C19" s="16">
        <f t="shared" ref="C19:J19" si="8">B19</f>
        <v>0.2</v>
      </c>
      <c r="D19" s="16">
        <f t="shared" si="8"/>
        <v>0.2</v>
      </c>
      <c r="E19" s="16">
        <f t="shared" si="8"/>
        <v>0.2</v>
      </c>
      <c r="F19" s="16">
        <f t="shared" si="8"/>
        <v>0.2</v>
      </c>
      <c r="G19" s="16">
        <f t="shared" si="8"/>
        <v>0.2</v>
      </c>
      <c r="H19" s="16">
        <f t="shared" si="8"/>
        <v>0.2</v>
      </c>
      <c r="I19" s="16">
        <f t="shared" si="8"/>
        <v>0.2</v>
      </c>
      <c r="J19" s="16">
        <f t="shared" si="8"/>
        <v>0.2</v>
      </c>
    </row>
    <row r="20" spans="1:10" x14ac:dyDescent="0.2">
      <c r="A20" t="s">
        <v>31</v>
      </c>
      <c r="B20" s="16">
        <v>0.2</v>
      </c>
      <c r="C20" s="16">
        <v>0.2</v>
      </c>
      <c r="D20" s="16">
        <v>0.2</v>
      </c>
      <c r="E20" s="16">
        <v>0.2</v>
      </c>
      <c r="F20" s="16">
        <v>0.2</v>
      </c>
      <c r="G20" s="16">
        <v>0.2</v>
      </c>
      <c r="H20" s="16">
        <v>0.2</v>
      </c>
      <c r="I20" s="16">
        <v>0.2</v>
      </c>
      <c r="J20" s="16">
        <v>0.2</v>
      </c>
    </row>
    <row r="21" spans="1:10" x14ac:dyDescent="0.2">
      <c r="A21" t="s">
        <v>32</v>
      </c>
      <c r="B21" s="16">
        <v>0.03</v>
      </c>
      <c r="C21" s="16">
        <v>0.03</v>
      </c>
      <c r="D21" s="16">
        <v>0.03</v>
      </c>
      <c r="E21" s="16">
        <v>0.03</v>
      </c>
      <c r="F21" s="16">
        <v>0.03</v>
      </c>
      <c r="G21" s="16">
        <v>0.03</v>
      </c>
      <c r="H21" s="16">
        <v>0.03</v>
      </c>
      <c r="I21" s="16">
        <v>0.03</v>
      </c>
      <c r="J21" s="16">
        <v>0.03</v>
      </c>
    </row>
    <row r="22" spans="1:10" x14ac:dyDescent="0.2">
      <c r="A22" t="s">
        <v>33</v>
      </c>
      <c r="B22" s="16">
        <v>0.15</v>
      </c>
      <c r="C22" s="16">
        <v>0.15</v>
      </c>
      <c r="D22" s="16">
        <v>0.15</v>
      </c>
      <c r="E22" s="16">
        <v>0.15</v>
      </c>
      <c r="F22" s="16">
        <v>0.15</v>
      </c>
      <c r="G22" s="16">
        <v>0.15</v>
      </c>
      <c r="H22" s="16">
        <v>0.15</v>
      </c>
      <c r="I22" s="16">
        <v>0.15</v>
      </c>
      <c r="J22" s="16">
        <v>0.15</v>
      </c>
    </row>
    <row r="23" spans="1:10" x14ac:dyDescent="0.2">
      <c r="A23" t="s">
        <v>34</v>
      </c>
      <c r="B23" s="16">
        <v>0.12</v>
      </c>
      <c r="C23" s="16">
        <v>0.12</v>
      </c>
      <c r="D23" s="16">
        <v>0.12</v>
      </c>
      <c r="E23" s="16">
        <v>0.12</v>
      </c>
      <c r="F23" s="16">
        <v>0.12</v>
      </c>
      <c r="G23" s="16">
        <v>0.12</v>
      </c>
      <c r="H23" s="16">
        <v>0.12</v>
      </c>
      <c r="I23" s="16">
        <v>0.12</v>
      </c>
      <c r="J23" s="16">
        <v>0.12</v>
      </c>
    </row>
    <row r="24" spans="1:10" x14ac:dyDescent="0.2">
      <c r="A24" t="s">
        <v>35</v>
      </c>
      <c r="B24" s="17">
        <v>5.0000000000000001E-3</v>
      </c>
      <c r="C24" s="17">
        <v>5.0000000000000001E-3</v>
      </c>
      <c r="D24" s="17">
        <v>5.0000000000000001E-3</v>
      </c>
      <c r="E24" s="17">
        <v>5.0000000000000001E-3</v>
      </c>
      <c r="F24" s="17">
        <v>5.0000000000000001E-3</v>
      </c>
      <c r="G24" s="17">
        <v>5.0000000000000001E-3</v>
      </c>
      <c r="H24" s="17">
        <v>5.0000000000000001E-3</v>
      </c>
      <c r="I24" s="17">
        <v>5.0000000000000001E-3</v>
      </c>
      <c r="J24" s="17">
        <v>5.0000000000000001E-3</v>
      </c>
    </row>
    <row r="25" spans="1:10" x14ac:dyDescent="0.2">
      <c r="A25" t="s">
        <v>36</v>
      </c>
      <c r="B25" s="16">
        <v>0.06</v>
      </c>
      <c r="C25" s="16">
        <v>0.06</v>
      </c>
      <c r="D25" s="16">
        <v>0.06</v>
      </c>
      <c r="E25" s="16">
        <v>0.06</v>
      </c>
      <c r="F25" s="16">
        <v>0.06</v>
      </c>
      <c r="G25" s="16">
        <v>0.06</v>
      </c>
      <c r="H25" s="16">
        <v>0.06</v>
      </c>
      <c r="I25" s="16">
        <v>0.06</v>
      </c>
      <c r="J25" s="16">
        <v>0.06</v>
      </c>
    </row>
    <row r="26" spans="1:10" x14ac:dyDescent="0.2">
      <c r="A26" t="s">
        <v>37</v>
      </c>
      <c r="B26" s="16">
        <v>0.05</v>
      </c>
      <c r="C26" s="16">
        <v>0.05</v>
      </c>
      <c r="D26" s="16">
        <v>0.05</v>
      </c>
      <c r="E26" s="16">
        <v>0.05</v>
      </c>
      <c r="F26" s="16">
        <v>0.05</v>
      </c>
      <c r="G26" s="16">
        <v>0.05</v>
      </c>
      <c r="H26" s="16">
        <v>0.05</v>
      </c>
      <c r="I26" s="16">
        <v>0.05</v>
      </c>
      <c r="J26" s="16">
        <v>0.05</v>
      </c>
    </row>
    <row r="27" spans="1:10" x14ac:dyDescent="0.2">
      <c r="A27" t="s">
        <v>38</v>
      </c>
      <c r="B27" s="16">
        <v>0.08</v>
      </c>
      <c r="C27" s="16">
        <v>0.08</v>
      </c>
      <c r="D27" s="16">
        <v>0.08</v>
      </c>
      <c r="E27" s="16">
        <v>0.08</v>
      </c>
      <c r="F27" s="16">
        <v>0.08</v>
      </c>
      <c r="G27" s="16">
        <v>0.08</v>
      </c>
      <c r="H27" s="16">
        <v>0.08</v>
      </c>
      <c r="I27" s="16">
        <v>0.08</v>
      </c>
      <c r="J27" s="16">
        <v>0.08</v>
      </c>
    </row>
    <row r="28" spans="1:10" x14ac:dyDescent="0.2">
      <c r="A28" t="s">
        <v>39</v>
      </c>
      <c r="B28" s="16">
        <v>0.2</v>
      </c>
      <c r="C28" s="16">
        <v>0.2</v>
      </c>
      <c r="D28" s="16">
        <v>0.2</v>
      </c>
      <c r="E28" s="16">
        <v>0.2</v>
      </c>
      <c r="F28" s="16">
        <v>0.2</v>
      </c>
      <c r="G28" s="16">
        <v>0.2</v>
      </c>
      <c r="H28" s="16">
        <v>0.2</v>
      </c>
      <c r="I28" s="16">
        <v>0.2</v>
      </c>
      <c r="J28" s="16">
        <v>0.2</v>
      </c>
    </row>
    <row r="29" spans="1:10" x14ac:dyDescent="0.2">
      <c r="A29" t="s">
        <v>40</v>
      </c>
      <c r="B29" s="17">
        <v>8.5000000000000006E-2</v>
      </c>
      <c r="C29" s="17">
        <v>8.5000000000000006E-2</v>
      </c>
      <c r="D29" s="17">
        <v>8.5000000000000006E-2</v>
      </c>
      <c r="E29" s="17">
        <v>8.5000000000000006E-2</v>
      </c>
      <c r="F29" s="17">
        <v>8.5000000000000006E-2</v>
      </c>
      <c r="G29" s="17">
        <v>8.5000000000000006E-2</v>
      </c>
      <c r="H29" s="17">
        <v>8.5000000000000006E-2</v>
      </c>
      <c r="I29" s="17">
        <v>8.5000000000000006E-2</v>
      </c>
      <c r="J29" s="17">
        <v>8.5000000000000006E-2</v>
      </c>
    </row>
  </sheetData>
  <phoneticPr fontId="2" type="noConversion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topLeftCell="A7" workbookViewId="0">
      <selection activeCell="A8" sqref="A8:L27"/>
    </sheetView>
  </sheetViews>
  <sheetFormatPr baseColWidth="10" defaultColWidth="10.28515625" defaultRowHeight="12.75" x14ac:dyDescent="0.2"/>
  <cols>
    <col min="1" max="1" width="11.28515625" style="248" customWidth="1"/>
    <col min="2" max="11" width="10.28515625" style="248"/>
    <col min="12" max="12" width="11.28515625" style="248" bestFit="1" customWidth="1"/>
    <col min="13" max="16384" width="10.28515625" style="248"/>
  </cols>
  <sheetData>
    <row r="1" spans="1:12" x14ac:dyDescent="0.2">
      <c r="A1" s="247"/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</row>
    <row r="2" spans="1:12" x14ac:dyDescent="0.2">
      <c r="A2" s="247"/>
      <c r="B2" s="249"/>
      <c r="D2" s="247"/>
      <c r="E2" s="247"/>
      <c r="F2" s="250" t="s">
        <v>295</v>
      </c>
      <c r="G2" s="247"/>
      <c r="H2" s="247"/>
      <c r="I2" s="247"/>
      <c r="J2" s="247"/>
      <c r="K2" s="247"/>
      <c r="L2" s="247"/>
    </row>
    <row r="3" spans="1:12" x14ac:dyDescent="0.2">
      <c r="A3" s="247"/>
      <c r="B3" s="247"/>
      <c r="D3" s="247"/>
      <c r="E3" s="247"/>
      <c r="F3" s="247"/>
      <c r="G3" s="247"/>
      <c r="H3" s="247"/>
      <c r="I3" s="247"/>
      <c r="J3" s="247"/>
      <c r="K3" s="247"/>
      <c r="L3" s="247"/>
    </row>
    <row r="4" spans="1:12" x14ac:dyDescent="0.2">
      <c r="A4" s="247"/>
      <c r="B4" s="247"/>
      <c r="D4" s="247"/>
      <c r="E4" s="247"/>
      <c r="F4" s="247" t="s">
        <v>296</v>
      </c>
      <c r="G4" s="247"/>
      <c r="H4" s="247"/>
      <c r="I4" s="247"/>
      <c r="J4" s="247"/>
      <c r="K4" s="247"/>
      <c r="L4" s="247"/>
    </row>
    <row r="5" spans="1:12" x14ac:dyDescent="0.2">
      <c r="A5" s="247"/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</row>
    <row r="6" spans="1:12" x14ac:dyDescent="0.2">
      <c r="A6" s="247"/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</row>
    <row r="7" spans="1:12" x14ac:dyDescent="0.2">
      <c r="A7" s="247"/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</row>
    <row r="8" spans="1:12" x14ac:dyDescent="0.2">
      <c r="A8" s="247" t="s">
        <v>306</v>
      </c>
      <c r="B8" s="247">
        <v>2020</v>
      </c>
      <c r="C8" s="247" t="s">
        <v>51</v>
      </c>
      <c r="D8" s="247">
        <v>2021</v>
      </c>
      <c r="E8" s="247" t="s">
        <v>51</v>
      </c>
      <c r="F8" s="250">
        <v>2022</v>
      </c>
      <c r="G8" s="247" t="s">
        <v>51</v>
      </c>
      <c r="H8" s="250">
        <v>2023</v>
      </c>
      <c r="I8" s="247" t="s">
        <v>51</v>
      </c>
      <c r="J8" s="250">
        <v>2024</v>
      </c>
      <c r="K8" s="247" t="s">
        <v>51</v>
      </c>
      <c r="L8" s="247" t="s">
        <v>15</v>
      </c>
    </row>
    <row r="9" spans="1:12" x14ac:dyDescent="0.2">
      <c r="A9" s="247"/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</row>
    <row r="10" spans="1:12" x14ac:dyDescent="0.2">
      <c r="A10" s="260" t="s">
        <v>309</v>
      </c>
      <c r="B10" s="251">
        <v>3000</v>
      </c>
      <c r="C10" s="252">
        <f>(B10/$B$27)*100</f>
        <v>1.9374838543012141</v>
      </c>
      <c r="D10" s="251">
        <v>189456</v>
      </c>
      <c r="E10" s="252">
        <f>(D10/$D$27)*100</f>
        <v>51.028620372016356</v>
      </c>
      <c r="F10" s="251">
        <v>205246</v>
      </c>
      <c r="G10" s="252">
        <f>(F10/$F$27)*100</f>
        <v>53.684629026098698</v>
      </c>
      <c r="H10" s="251">
        <v>227980</v>
      </c>
      <c r="I10" s="252">
        <f>(H10/$H$27)*100</f>
        <v>54.239885039422532</v>
      </c>
      <c r="J10" s="251">
        <v>234480</v>
      </c>
      <c r="K10" s="252">
        <f>(J10/$J$27)*100</f>
        <v>54.291979151954095</v>
      </c>
      <c r="L10" s="259">
        <f>SUM(B10,D10,F10,H10,J10)</f>
        <v>860162</v>
      </c>
    </row>
    <row r="11" spans="1:12" x14ac:dyDescent="0.2">
      <c r="A11" s="260" t="s">
        <v>310</v>
      </c>
      <c r="B11" s="251">
        <v>4000</v>
      </c>
      <c r="C11" s="252">
        <f>(B11/$B$27)*100</f>
        <v>2.5833118057349522</v>
      </c>
      <c r="D11" s="251">
        <v>10540</v>
      </c>
      <c r="E11" s="252">
        <f>(D11/$D$27)*100</f>
        <v>2.838873715907928</v>
      </c>
      <c r="F11" s="251">
        <v>10966</v>
      </c>
      <c r="G11" s="252">
        <f>(F11/$F$27)*100</f>
        <v>2.8682928870730646</v>
      </c>
      <c r="H11" s="251">
        <v>12616</v>
      </c>
      <c r="I11" s="252">
        <f>(H11/$H$27)*100</f>
        <v>3.0015369315613416</v>
      </c>
      <c r="J11" s="251">
        <v>12994</v>
      </c>
      <c r="K11" s="252">
        <f>(J11/$J$27)*100</f>
        <v>3.0086573571327686</v>
      </c>
      <c r="L11" s="259">
        <f t="shared" ref="L11:L13" si="0">SUM(B11,D11,F11,H11,J11)</f>
        <v>51116</v>
      </c>
    </row>
    <row r="12" spans="1:12" x14ac:dyDescent="0.2">
      <c r="A12" s="260" t="s">
        <v>311</v>
      </c>
      <c r="B12" s="251">
        <v>3500</v>
      </c>
      <c r="C12" s="252">
        <f>(B12/$B$27)*100</f>
        <v>2.2603978300180834</v>
      </c>
      <c r="D12" s="251">
        <v>6828</v>
      </c>
      <c r="E12" s="252">
        <f>(D12/$D$27)*100</f>
        <v>1.8390730296223277</v>
      </c>
      <c r="F12" s="251">
        <v>7958</v>
      </c>
      <c r="G12" s="252">
        <f>(F12/$F$27)*100</f>
        <v>2.0815132952149784</v>
      </c>
      <c r="H12" s="251">
        <v>9134</v>
      </c>
      <c r="I12" s="252">
        <f>(H12/$H$27)*100</f>
        <v>2.1731165450920491</v>
      </c>
      <c r="J12" s="251">
        <v>9400</v>
      </c>
      <c r="K12" s="252">
        <f>(J12/$J$27)*100</f>
        <v>2.1764952406532263</v>
      </c>
      <c r="L12" s="259">
        <f t="shared" si="0"/>
        <v>36820</v>
      </c>
    </row>
    <row r="13" spans="1:12" x14ac:dyDescent="0.2">
      <c r="A13" s="260" t="s">
        <v>312</v>
      </c>
      <c r="B13" s="251">
        <v>6000</v>
      </c>
      <c r="C13" s="252">
        <f>(B13/$B$27)*100</f>
        <v>3.8749677086024281</v>
      </c>
      <c r="D13" s="251">
        <v>10890</v>
      </c>
      <c r="E13" s="252">
        <f>(D13/$D$27)*100</f>
        <v>2.9331437159617963</v>
      </c>
      <c r="F13" s="251">
        <v>12294</v>
      </c>
      <c r="G13" s="252">
        <f>(F13/$F$27)*100</f>
        <v>3.2156477068827525</v>
      </c>
      <c r="H13" s="251">
        <v>14134</v>
      </c>
      <c r="I13" s="252">
        <f>(H13/$H$27)*100</f>
        <v>3.3626920569663916</v>
      </c>
      <c r="J13" s="251">
        <v>14528</v>
      </c>
      <c r="K13" s="252">
        <f>(J13/$J$27)*100</f>
        <v>3.3638428570436254</v>
      </c>
      <c r="L13" s="259">
        <f t="shared" si="0"/>
        <v>57846</v>
      </c>
    </row>
    <row r="14" spans="1:12" x14ac:dyDescent="0.2">
      <c r="A14" s="249"/>
      <c r="B14" s="249"/>
      <c r="C14" s="253" t="s">
        <v>52</v>
      </c>
      <c r="D14" s="249"/>
      <c r="E14" s="253" t="s">
        <v>52</v>
      </c>
      <c r="F14" s="249"/>
      <c r="G14" s="253" t="s">
        <v>52</v>
      </c>
      <c r="H14" s="249"/>
      <c r="I14" s="253" t="s">
        <v>52</v>
      </c>
      <c r="J14" s="249"/>
      <c r="K14" s="253" t="s">
        <v>52</v>
      </c>
      <c r="L14" s="259"/>
    </row>
    <row r="15" spans="1:12" x14ac:dyDescent="0.2">
      <c r="A15" s="249" t="s">
        <v>307</v>
      </c>
      <c r="B15" s="254">
        <f t="shared" ref="B15:K15" si="1">SUM(B10:B13)</f>
        <v>16500</v>
      </c>
      <c r="C15" s="253">
        <f t="shared" si="1"/>
        <v>10.656161198656678</v>
      </c>
      <c r="D15" s="254">
        <f t="shared" si="1"/>
        <v>217714</v>
      </c>
      <c r="E15" s="253">
        <f t="shared" si="1"/>
        <v>58.63971083350841</v>
      </c>
      <c r="F15" s="254">
        <f t="shared" si="1"/>
        <v>236464</v>
      </c>
      <c r="G15" s="253">
        <f t="shared" si="1"/>
        <v>61.850082915269496</v>
      </c>
      <c r="H15" s="254">
        <f t="shared" si="1"/>
        <v>263864</v>
      </c>
      <c r="I15" s="253">
        <f t="shared" si="1"/>
        <v>62.777230573042317</v>
      </c>
      <c r="J15" s="254">
        <f t="shared" si="1"/>
        <v>271402</v>
      </c>
      <c r="K15" s="253">
        <f t="shared" si="1"/>
        <v>62.840974606783718</v>
      </c>
      <c r="L15" s="259">
        <f>SUM(B15,D15,F15,H15,J15)</f>
        <v>1005944</v>
      </c>
    </row>
    <row r="16" spans="1:12" x14ac:dyDescent="0.2">
      <c r="A16" s="249"/>
      <c r="B16" s="249"/>
      <c r="C16" s="253" t="s">
        <v>52</v>
      </c>
      <c r="D16" s="249"/>
      <c r="E16" s="253" t="s">
        <v>52</v>
      </c>
      <c r="F16" s="249"/>
      <c r="G16" s="253" t="s">
        <v>52</v>
      </c>
      <c r="H16" s="249"/>
      <c r="I16" s="253" t="s">
        <v>52</v>
      </c>
      <c r="J16" s="249"/>
      <c r="K16" s="253" t="s">
        <v>52</v>
      </c>
      <c r="L16" s="259"/>
    </row>
    <row r="17" spans="1:12" x14ac:dyDescent="0.2">
      <c r="A17" s="249"/>
      <c r="B17" s="249"/>
      <c r="C17" s="253" t="s">
        <v>52</v>
      </c>
      <c r="D17" s="249"/>
      <c r="E17" s="253" t="s">
        <v>52</v>
      </c>
      <c r="F17" s="249"/>
      <c r="G17" s="253" t="s">
        <v>52</v>
      </c>
      <c r="H17" s="249"/>
      <c r="I17" s="253" t="s">
        <v>52</v>
      </c>
      <c r="J17" s="249"/>
      <c r="K17" s="253" t="s">
        <v>52</v>
      </c>
      <c r="L17" s="259"/>
    </row>
    <row r="18" spans="1:12" x14ac:dyDescent="0.2">
      <c r="A18" s="260" t="s">
        <v>313</v>
      </c>
      <c r="B18" s="251">
        <v>24000</v>
      </c>
      <c r="C18" s="252">
        <f>(B18/$B$27)*100</f>
        <v>15.499870834409712</v>
      </c>
      <c r="D18" s="251">
        <v>66960</v>
      </c>
      <c r="E18" s="252">
        <f>(D18/$D$27)*100</f>
        <v>18.035197724591541</v>
      </c>
      <c r="F18" s="251">
        <v>69668</v>
      </c>
      <c r="G18" s="252">
        <f>(F18/$F$27)*100</f>
        <v>18.222526797064223</v>
      </c>
      <c r="H18" s="251">
        <v>77008</v>
      </c>
      <c r="I18" s="252">
        <f>(H18/$H$27)*100</f>
        <v>18.32136620368388</v>
      </c>
      <c r="J18" s="251">
        <v>79316</v>
      </c>
      <c r="K18" s="252">
        <f>(J18/$J$27)*100</f>
        <v>18.364988990175672</v>
      </c>
      <c r="L18" s="259">
        <f t="shared" ref="L18:L21" si="2">SUM(B18,D18,F18,H18,J18)</f>
        <v>316952</v>
      </c>
    </row>
    <row r="19" spans="1:12" x14ac:dyDescent="0.2">
      <c r="A19" s="260" t="s">
        <v>314</v>
      </c>
      <c r="B19" s="251">
        <v>25000</v>
      </c>
      <c r="C19" s="252">
        <f>(B19/$B$27)*100</f>
        <v>16.14569878584345</v>
      </c>
      <c r="D19" s="251">
        <v>61210</v>
      </c>
      <c r="E19" s="252">
        <f>(D19/$D$27)*100</f>
        <v>16.48647629513513</v>
      </c>
      <c r="F19" s="251">
        <v>50772</v>
      </c>
      <c r="G19" s="252">
        <f>(F19/$F$27)*100</f>
        <v>13.280044360976987</v>
      </c>
      <c r="H19" s="251">
        <v>54076</v>
      </c>
      <c r="I19" s="252">
        <f>(H19/$H$27)*100</f>
        <v>12.865497076023392</v>
      </c>
      <c r="J19" s="251">
        <v>55786</v>
      </c>
      <c r="K19" s="252">
        <f>(J19/$J$27)*100</f>
        <v>12.916804627136264</v>
      </c>
      <c r="L19" s="259">
        <f t="shared" si="2"/>
        <v>246844</v>
      </c>
    </row>
    <row r="20" spans="1:12" x14ac:dyDescent="0.2">
      <c r="A20" s="260" t="s">
        <v>315</v>
      </c>
      <c r="B20" s="251">
        <v>64300</v>
      </c>
      <c r="C20" s="252">
        <f>(B20/$B$27)*100</f>
        <v>41.526737277189355</v>
      </c>
      <c r="D20" s="251">
        <v>350</v>
      </c>
      <c r="E20" s="252">
        <f>(D20/$D$27)*100</f>
        <v>9.4270000053868569E-2</v>
      </c>
      <c r="F20" s="251">
        <v>374</v>
      </c>
      <c r="G20" s="252">
        <f>(F20/$F$27)*100</f>
        <v>9.78243242536318E-2</v>
      </c>
      <c r="H20" s="251">
        <v>330</v>
      </c>
      <c r="I20" s="252">
        <f>(H20/$H$27)*100</f>
        <v>7.8511983783706621E-2</v>
      </c>
      <c r="J20" s="251">
        <v>343</v>
      </c>
      <c r="K20" s="252">
        <f>(J20/$J$27)*100</f>
        <v>7.9418922079154963E-2</v>
      </c>
      <c r="L20" s="259">
        <f t="shared" si="2"/>
        <v>65697</v>
      </c>
    </row>
    <row r="21" spans="1:12" x14ac:dyDescent="0.2">
      <c r="A21" s="260" t="s">
        <v>316</v>
      </c>
      <c r="B21" s="251">
        <v>25040</v>
      </c>
      <c r="C21" s="252">
        <f>(B21/$B$27)*100</f>
        <v>16.171531903900803</v>
      </c>
      <c r="D21" s="251">
        <v>25040</v>
      </c>
      <c r="E21" s="252">
        <f>(D21/$D$27)*100</f>
        <v>6.7443451467110549</v>
      </c>
      <c r="F21" s="251">
        <v>25040</v>
      </c>
      <c r="G21" s="252">
        <f>(F21/$F$27)*100</f>
        <v>6.5495216024356688</v>
      </c>
      <c r="H21" s="251">
        <v>25040</v>
      </c>
      <c r="I21" s="252">
        <f>(H21/$H$27)*100</f>
        <v>5.9573941634667085</v>
      </c>
      <c r="J21" s="251">
        <v>25040</v>
      </c>
      <c r="K21" s="252">
        <f>(J21/$J$27)*100</f>
        <v>5.7978128538251905</v>
      </c>
      <c r="L21" s="259">
        <f t="shared" si="2"/>
        <v>125200</v>
      </c>
    </row>
    <row r="22" spans="1:12" x14ac:dyDescent="0.2">
      <c r="A22" s="249"/>
      <c r="B22" s="255"/>
      <c r="C22" s="256"/>
      <c r="D22" s="255"/>
      <c r="E22" s="256"/>
      <c r="F22" s="255"/>
      <c r="G22" s="256"/>
      <c r="H22" s="255"/>
      <c r="I22" s="256"/>
      <c r="J22" s="255"/>
      <c r="K22" s="256"/>
      <c r="L22" s="259"/>
    </row>
    <row r="23" spans="1:12" x14ac:dyDescent="0.2">
      <c r="A23" s="249" t="s">
        <v>308</v>
      </c>
      <c r="B23" s="254">
        <f t="shared" ref="B23:K23" si="3">SUM(B18:B21)</f>
        <v>138340</v>
      </c>
      <c r="C23" s="253">
        <f t="shared" si="3"/>
        <v>89.343838801343324</v>
      </c>
      <c r="D23" s="254">
        <f t="shared" si="3"/>
        <v>153560</v>
      </c>
      <c r="E23" s="253">
        <f t="shared" si="3"/>
        <v>41.360289166491597</v>
      </c>
      <c r="F23" s="254">
        <f t="shared" si="3"/>
        <v>145854</v>
      </c>
      <c r="G23" s="253">
        <f t="shared" si="3"/>
        <v>38.149917084730511</v>
      </c>
      <c r="H23" s="254">
        <f t="shared" si="3"/>
        <v>156454</v>
      </c>
      <c r="I23" s="253">
        <f t="shared" si="3"/>
        <v>37.222769426957683</v>
      </c>
      <c r="J23" s="254">
        <f t="shared" si="3"/>
        <v>160485</v>
      </c>
      <c r="K23" s="253">
        <f t="shared" si="3"/>
        <v>37.159025393216282</v>
      </c>
      <c r="L23" s="259">
        <f t="shared" ref="L23" si="4">SUM(B23,D23,F23,H23,J23)</f>
        <v>754693</v>
      </c>
    </row>
    <row r="24" spans="1:12" x14ac:dyDescent="0.2">
      <c r="A24" s="249"/>
      <c r="B24" s="255"/>
      <c r="C24" s="256"/>
      <c r="D24" s="255"/>
      <c r="E24" s="256"/>
      <c r="F24" s="255"/>
      <c r="G24" s="256"/>
      <c r="H24" s="255"/>
      <c r="I24" s="256"/>
      <c r="J24" s="255"/>
      <c r="K24" s="256"/>
      <c r="L24" s="258"/>
    </row>
    <row r="25" spans="1:12" x14ac:dyDescent="0.2">
      <c r="A25" s="249"/>
      <c r="B25" s="255"/>
      <c r="C25" s="256"/>
      <c r="D25" s="255"/>
      <c r="E25" s="256"/>
      <c r="F25" s="255"/>
      <c r="G25" s="256"/>
      <c r="H25" s="255"/>
      <c r="I25" s="256"/>
      <c r="J25" s="255"/>
      <c r="K25" s="256"/>
      <c r="L25" s="258"/>
    </row>
    <row r="26" spans="1:12" ht="13.5" thickBot="1" x14ac:dyDescent="0.25">
      <c r="A26" s="249"/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58"/>
    </row>
    <row r="27" spans="1:12" ht="13.5" thickBot="1" x14ac:dyDescent="0.25">
      <c r="A27" s="249" t="s">
        <v>53</v>
      </c>
      <c r="B27" s="257">
        <f t="shared" ref="B27:K27" si="5">SUM(B15,B23)</f>
        <v>154840</v>
      </c>
      <c r="C27" s="257">
        <f t="shared" si="5"/>
        <v>100</v>
      </c>
      <c r="D27" s="257">
        <f t="shared" si="5"/>
        <v>371274</v>
      </c>
      <c r="E27" s="257">
        <f t="shared" si="5"/>
        <v>100</v>
      </c>
      <c r="F27" s="257">
        <f t="shared" si="5"/>
        <v>382318</v>
      </c>
      <c r="G27" s="257">
        <f t="shared" si="5"/>
        <v>100</v>
      </c>
      <c r="H27" s="257">
        <f t="shared" si="5"/>
        <v>420318</v>
      </c>
      <c r="I27" s="257">
        <f t="shared" si="5"/>
        <v>100</v>
      </c>
      <c r="J27" s="257">
        <f t="shared" si="5"/>
        <v>431887</v>
      </c>
      <c r="K27" s="257">
        <f t="shared" si="5"/>
        <v>100</v>
      </c>
      <c r="L27" s="258">
        <f>SUM(B27,D27,F27,H27,J27)</f>
        <v>1760637</v>
      </c>
    </row>
  </sheetData>
  <phoneticPr fontId="2" type="noConversion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05"/>
  <sheetViews>
    <sheetView workbookViewId="0">
      <pane xSplit="1" topLeftCell="B1" activePane="topRight" state="frozen"/>
      <selection activeCell="A32" sqref="A32"/>
      <selection pane="topRight" activeCell="H14" sqref="H14"/>
    </sheetView>
  </sheetViews>
  <sheetFormatPr baseColWidth="10" defaultRowHeight="12.75" x14ac:dyDescent="0.2"/>
  <cols>
    <col min="1" max="1" width="39" customWidth="1"/>
    <col min="2" max="2" width="14" customWidth="1"/>
    <col min="3" max="3" width="13" customWidth="1"/>
    <col min="4" max="6" width="12.7109375" customWidth="1"/>
  </cols>
  <sheetData>
    <row r="2" spans="1:8" x14ac:dyDescent="0.2">
      <c r="A2" t="s">
        <v>41</v>
      </c>
      <c r="B2" s="151">
        <v>2020</v>
      </c>
      <c r="C2" s="151">
        <f>B2+1</f>
        <v>2021</v>
      </c>
      <c r="D2" s="151">
        <f t="shared" ref="D2:F2" si="0">C2+1</f>
        <v>2022</v>
      </c>
      <c r="E2" s="151">
        <f t="shared" si="0"/>
        <v>2023</v>
      </c>
      <c r="F2" s="151">
        <f t="shared" si="0"/>
        <v>2024</v>
      </c>
    </row>
    <row r="3" spans="1:8" x14ac:dyDescent="0.2">
      <c r="A3" s="170" t="s">
        <v>300</v>
      </c>
      <c r="B3" s="13">
        <f>volumenes!B15</f>
        <v>16500</v>
      </c>
      <c r="C3" s="13">
        <f>volumenes!D15</f>
        <v>217714</v>
      </c>
      <c r="D3" s="13">
        <f>volumenes!F15</f>
        <v>236464</v>
      </c>
      <c r="E3" s="13">
        <f>volumenes!H15</f>
        <v>263864</v>
      </c>
      <c r="F3" s="13">
        <f>volumenes!J15</f>
        <v>271402</v>
      </c>
    </row>
    <row r="4" spans="1:8" s="6" customFormat="1" x14ac:dyDescent="0.2">
      <c r="A4" s="170" t="s">
        <v>301</v>
      </c>
      <c r="B4" s="15">
        <v>1400</v>
      </c>
      <c r="C4" s="15">
        <f>B4*Premisas!C10+B4</f>
        <v>1610</v>
      </c>
      <c r="D4" s="15">
        <f>C4*Premisas!D10+C4</f>
        <v>1771</v>
      </c>
      <c r="E4" s="15">
        <f>D4*Premisas!E10+D4</f>
        <v>1903.825</v>
      </c>
      <c r="F4" s="15">
        <f>E4*Premisas!F10+E4</f>
        <v>2037.09275</v>
      </c>
    </row>
    <row r="5" spans="1:8" ht="13.5" thickBot="1" x14ac:dyDescent="0.25">
      <c r="A5" t="s">
        <v>42</v>
      </c>
      <c r="B5" s="14">
        <f>B3*B4</f>
        <v>23100000</v>
      </c>
      <c r="C5" s="14">
        <f t="shared" ref="C5:F5" si="1">C3*C4</f>
        <v>350519540</v>
      </c>
      <c r="D5" s="14">
        <f t="shared" si="1"/>
        <v>418777744</v>
      </c>
      <c r="E5" s="14">
        <f t="shared" si="1"/>
        <v>502350879.80000001</v>
      </c>
      <c r="F5" s="14">
        <f t="shared" si="1"/>
        <v>552871046.53550005</v>
      </c>
    </row>
    <row r="6" spans="1:8" ht="13.5" thickTop="1" x14ac:dyDescent="0.2"/>
    <row r="7" spans="1:8" x14ac:dyDescent="0.2">
      <c r="A7" t="s">
        <v>41</v>
      </c>
      <c r="B7" s="151">
        <v>2020</v>
      </c>
      <c r="C7" s="151">
        <f>B7+1</f>
        <v>2021</v>
      </c>
      <c r="D7" s="151">
        <f t="shared" ref="D7:F7" si="2">C7+1</f>
        <v>2022</v>
      </c>
      <c r="E7" s="151">
        <f t="shared" si="2"/>
        <v>2023</v>
      </c>
      <c r="F7" s="151">
        <f t="shared" si="2"/>
        <v>2024</v>
      </c>
      <c r="H7" s="170" t="s">
        <v>320</v>
      </c>
    </row>
    <row r="8" spans="1:8" x14ac:dyDescent="0.2">
      <c r="A8" s="170" t="s">
        <v>302</v>
      </c>
      <c r="B8" s="13">
        <f>volumenes!B23</f>
        <v>138340</v>
      </c>
      <c r="C8" s="13">
        <f>volumenes!D23</f>
        <v>153560</v>
      </c>
      <c r="D8" s="13">
        <f>volumenes!F23</f>
        <v>145854</v>
      </c>
      <c r="E8" s="13">
        <f>volumenes!H23</f>
        <v>156454</v>
      </c>
      <c r="F8" s="13">
        <f>volumenes!J18</f>
        <v>79316</v>
      </c>
    </row>
    <row r="9" spans="1:8" x14ac:dyDescent="0.2">
      <c r="A9" s="170" t="s">
        <v>303</v>
      </c>
      <c r="B9" s="15">
        <v>910</v>
      </c>
      <c r="C9" s="15">
        <f>B9*Premisas!C10+Entradas!B9</f>
        <v>1046.5</v>
      </c>
      <c r="D9" s="15">
        <f>C9*Premisas!D10+Entradas!C9</f>
        <v>1151.1500000000001</v>
      </c>
      <c r="E9" s="15">
        <f>D9*Premisas!E10+Entradas!D9</f>
        <v>1237.4862500000002</v>
      </c>
      <c r="F9" s="15">
        <f>E9*Premisas!F10+Entradas!E9</f>
        <v>1324.1102875000001</v>
      </c>
    </row>
    <row r="10" spans="1:8" ht="13.5" thickBot="1" x14ac:dyDescent="0.25">
      <c r="A10" t="s">
        <v>42</v>
      </c>
      <c r="B10" s="14">
        <f>B8*B9</f>
        <v>125889400</v>
      </c>
      <c r="C10" s="14">
        <f t="shared" ref="C10:F10" si="3">C8*C9</f>
        <v>160700540</v>
      </c>
      <c r="D10" s="14">
        <f t="shared" si="3"/>
        <v>167899832.10000002</v>
      </c>
      <c r="E10" s="14">
        <f t="shared" si="3"/>
        <v>193609673.75750002</v>
      </c>
      <c r="F10" s="14">
        <f t="shared" si="3"/>
        <v>105023131.56335001</v>
      </c>
    </row>
    <row r="11" spans="1:8" ht="13.5" thickTop="1" x14ac:dyDescent="0.2">
      <c r="B11" s="19"/>
      <c r="C11" s="19"/>
      <c r="D11" s="19"/>
      <c r="E11" s="19"/>
      <c r="F11" s="19"/>
    </row>
    <row r="12" spans="1:8" ht="13.5" thickBot="1" x14ac:dyDescent="0.25">
      <c r="A12" s="170" t="s">
        <v>319</v>
      </c>
      <c r="B12" s="14">
        <f>B5+B10</f>
        <v>148989400</v>
      </c>
      <c r="C12" s="14">
        <f t="shared" ref="C12:F12" si="4">C5+C10</f>
        <v>511220080</v>
      </c>
      <c r="D12" s="14">
        <f t="shared" si="4"/>
        <v>586677576.10000002</v>
      </c>
      <c r="E12" s="14">
        <f t="shared" si="4"/>
        <v>695960553.5575</v>
      </c>
      <c r="F12" s="14">
        <f t="shared" si="4"/>
        <v>657894178.09885001</v>
      </c>
    </row>
    <row r="13" spans="1:8" ht="13.5" thickTop="1" x14ac:dyDescent="0.2"/>
    <row r="16" spans="1:8" x14ac:dyDescent="0.2">
      <c r="A16" s="261" t="s">
        <v>343</v>
      </c>
      <c r="B16" s="151">
        <v>2020</v>
      </c>
      <c r="C16" s="151">
        <f>B16+1</f>
        <v>2021</v>
      </c>
      <c r="D16" s="151">
        <f t="shared" ref="D16:F16" si="5">C16+1</f>
        <v>2022</v>
      </c>
      <c r="E16" s="151">
        <f t="shared" si="5"/>
        <v>2023</v>
      </c>
      <c r="F16" s="151">
        <f t="shared" si="5"/>
        <v>2024</v>
      </c>
    </row>
    <row r="17" spans="1:6" x14ac:dyDescent="0.2">
      <c r="A17" s="12" t="str">
        <f>'[1]Costo Estandar'!B4</f>
        <v>Llanta trasera</v>
      </c>
      <c r="B17" s="18">
        <v>90</v>
      </c>
      <c r="C17" s="18">
        <f>B17*(1+Premisas!C10)</f>
        <v>103.49999999999999</v>
      </c>
      <c r="D17" s="18">
        <f>C17*(1+Premisas!$D$10)</f>
        <v>113.85</v>
      </c>
      <c r="E17" s="18">
        <f>D17*(1+Premisas!$E$10)</f>
        <v>122.38874999999999</v>
      </c>
      <c r="F17" s="18">
        <f>E17*(1+Premisas!$F$10)</f>
        <v>130.9559625</v>
      </c>
    </row>
    <row r="18" spans="1:6" x14ac:dyDescent="0.2">
      <c r="A18" s="12" t="str">
        <f>'[1]Costo Estandar'!B5</f>
        <v>Llanta delantera</v>
      </c>
      <c r="B18" s="18">
        <v>50</v>
      </c>
      <c r="C18" s="18">
        <f>B18*(1+Premisas!$C$10)</f>
        <v>57.499999999999993</v>
      </c>
      <c r="D18" s="18">
        <f>C18*(1+Premisas!$D$10)</f>
        <v>63.25</v>
      </c>
      <c r="E18" s="18">
        <f>D18*(1+Premisas!$E$10)</f>
        <v>67.993749999999991</v>
      </c>
      <c r="F18" s="18">
        <f>E18*(1+Premisas!$F$10)</f>
        <v>72.753312499999993</v>
      </c>
    </row>
    <row r="19" spans="1:6" x14ac:dyDescent="0.2">
      <c r="A19" s="12" t="str">
        <f>'[1]Costo Estandar'!B6</f>
        <v>Rin delantero</v>
      </c>
      <c r="B19" s="18">
        <v>70</v>
      </c>
      <c r="C19" s="18">
        <f>B19*(1+Premisas!$C$10)</f>
        <v>80.5</v>
      </c>
      <c r="D19" s="18">
        <f>C19*(1+Premisas!$D$10)</f>
        <v>88.550000000000011</v>
      </c>
      <c r="E19" s="18">
        <f>D19*(1+Premisas!$E$10)</f>
        <v>95.191250000000011</v>
      </c>
      <c r="F19" s="18">
        <f>E19*(1+Premisas!$F$10)</f>
        <v>101.85463750000002</v>
      </c>
    </row>
    <row r="20" spans="1:6" x14ac:dyDescent="0.2">
      <c r="A20" s="12" t="str">
        <f>'[1]Costo Estandar'!B7</f>
        <v>Rin trasero</v>
      </c>
      <c r="B20" s="18">
        <v>120</v>
      </c>
      <c r="C20" s="18">
        <f>B20*(1+Premisas!$C$10)</f>
        <v>138</v>
      </c>
      <c r="D20" s="18">
        <f>C20*(1+Premisas!$D$10)</f>
        <v>151.80000000000001</v>
      </c>
      <c r="E20" s="18">
        <f>D20*(1+Premisas!$E$10)</f>
        <v>163.185</v>
      </c>
      <c r="F20" s="18">
        <f>E20*(1+Premisas!$F$10)</f>
        <v>174.60795000000002</v>
      </c>
    </row>
    <row r="21" spans="1:6" x14ac:dyDescent="0.2">
      <c r="A21" s="12" t="str">
        <f>'[1]Costo Estandar'!B8</f>
        <v>Manguera naranja</v>
      </c>
      <c r="B21" s="18">
        <v>24</v>
      </c>
      <c r="C21" s="18">
        <f>B21*(1+Premisas!$C$10)</f>
        <v>27.599999999999998</v>
      </c>
      <c r="D21" s="18">
        <f>C21*(1+Premisas!$D$10)</f>
        <v>30.36</v>
      </c>
      <c r="E21" s="18">
        <f>D21*(1+Premisas!$E$10)</f>
        <v>32.637</v>
      </c>
      <c r="F21" s="18">
        <f>E21*(1+Premisas!$F$10)</f>
        <v>34.921590000000002</v>
      </c>
    </row>
    <row r="22" spans="1:6" x14ac:dyDescent="0.2">
      <c r="A22" s="12" t="str">
        <f>'[1]Costo Estandar'!B9</f>
        <v>Soporte naranja trasero</v>
      </c>
      <c r="B22" s="18">
        <v>10</v>
      </c>
      <c r="C22" s="18">
        <f>B22*(1+Premisas!$C$10)</f>
        <v>11.5</v>
      </c>
      <c r="D22" s="18">
        <f>C22*(1+Premisas!$D$10)</f>
        <v>12.65</v>
      </c>
      <c r="E22" s="18">
        <f>D22*(1+Premisas!$E$10)</f>
        <v>13.598749999999999</v>
      </c>
      <c r="F22" s="18">
        <f>E22*(1+Premisas!$F$10)</f>
        <v>14.5506625</v>
      </c>
    </row>
    <row r="23" spans="1:6" x14ac:dyDescent="0.2">
      <c r="A23" s="12" t="str">
        <f>'[1]Costo Estandar'!B10</f>
        <v>Tablero naranja</v>
      </c>
      <c r="B23" s="18">
        <v>23</v>
      </c>
      <c r="C23" s="18">
        <f>B23*(1+Premisas!$C$10)</f>
        <v>26.45</v>
      </c>
      <c r="D23" s="18">
        <f>C23*(1+Premisas!$D$10)</f>
        <v>29.095000000000002</v>
      </c>
      <c r="E23" s="18">
        <f>D23*(1+Premisas!$E$10)</f>
        <v>31.277125000000002</v>
      </c>
      <c r="F23" s="18">
        <f>E23*(1+Premisas!$F$10)</f>
        <v>33.46652375</v>
      </c>
    </row>
    <row r="24" spans="1:6" x14ac:dyDescent="0.2">
      <c r="A24" s="12" t="str">
        <f>'[1]Costo Estandar'!B11</f>
        <v>Gomas</v>
      </c>
      <c r="B24" s="18">
        <v>100</v>
      </c>
      <c r="C24" s="18">
        <f>B24*(1+Premisas!$C$10)</f>
        <v>114.99999999999999</v>
      </c>
      <c r="D24" s="18">
        <f>C24*(1+Premisas!$D$10)</f>
        <v>126.5</v>
      </c>
      <c r="E24" s="18">
        <f>D24*(1+Premisas!$E$10)</f>
        <v>135.98749999999998</v>
      </c>
      <c r="F24" s="18">
        <f>E24*(1+Premisas!$F$10)</f>
        <v>145.50662499999999</v>
      </c>
    </row>
    <row r="25" spans="1:6" x14ac:dyDescent="0.2">
      <c r="A25" s="12" t="str">
        <f>'[1]Costo Estandar'!B12</f>
        <v>Unión naranja delantera</v>
      </c>
      <c r="B25" s="18">
        <v>36</v>
      </c>
      <c r="C25" s="18">
        <f>B25*(1+Premisas!$C$10)</f>
        <v>41.4</v>
      </c>
      <c r="D25" s="18">
        <f>C25*(1+Premisas!$D$10)</f>
        <v>45.54</v>
      </c>
      <c r="E25" s="18">
        <f>D25*(1+Premisas!$E$10)</f>
        <v>48.955499999999994</v>
      </c>
      <c r="F25" s="18">
        <f>E25*(1+Premisas!$F$10)</f>
        <v>52.382384999999999</v>
      </c>
    </row>
    <row r="26" spans="1:6" x14ac:dyDescent="0.2">
      <c r="A26" s="12" t="str">
        <f>'[1]Costo Estandar'!B13</f>
        <v>Base trasera (chasis)</v>
      </c>
      <c r="B26" s="18">
        <v>70</v>
      </c>
      <c r="C26" s="18">
        <f>B26*(1+Premisas!$C$10)</f>
        <v>80.5</v>
      </c>
      <c r="D26" s="18">
        <f>C26*(1+Premisas!$D$10)</f>
        <v>88.550000000000011</v>
      </c>
      <c r="E26" s="18">
        <f>D26*(1+Premisas!$E$10)</f>
        <v>95.191250000000011</v>
      </c>
      <c r="F26" s="18">
        <f>E26*(1+Premisas!$F$10)</f>
        <v>101.85463750000002</v>
      </c>
    </row>
    <row r="27" spans="1:6" x14ac:dyDescent="0.2">
      <c r="A27" s="12" t="str">
        <f>'[1]Costo Estandar'!B14</f>
        <v>Base de metal vino</v>
      </c>
      <c r="B27" s="18">
        <v>45</v>
      </c>
      <c r="C27" s="18">
        <f>B27*(1+Premisas!$C$10)</f>
        <v>51.749999999999993</v>
      </c>
      <c r="D27" s="18">
        <f>C27*(1+Premisas!$D$10)</f>
        <v>56.924999999999997</v>
      </c>
      <c r="E27" s="18">
        <f>D27*(1+Premisas!$E$10)</f>
        <v>61.194374999999994</v>
      </c>
      <c r="F27" s="18">
        <f>E27*(1+Premisas!$F$10)</f>
        <v>65.477981249999999</v>
      </c>
    </row>
    <row r="28" spans="1:6" x14ac:dyDescent="0.2">
      <c r="A28" s="12" t="str">
        <f>'[1]Costo Estandar'!B15</f>
        <v>Eje</v>
      </c>
      <c r="B28" s="18">
        <v>50</v>
      </c>
      <c r="C28" s="18">
        <f>B28*(1+Premisas!$C$10)</f>
        <v>57.499999999999993</v>
      </c>
      <c r="D28" s="18">
        <f>C28*(1+Premisas!$D$10)</f>
        <v>63.25</v>
      </c>
      <c r="E28" s="18">
        <f>D28*(1+Premisas!$E$10)</f>
        <v>67.993749999999991</v>
      </c>
      <c r="F28" s="18">
        <f>E28*(1+Premisas!$F$10)</f>
        <v>72.753312499999993</v>
      </c>
    </row>
    <row r="29" spans="1:6" x14ac:dyDescent="0.2">
      <c r="A29" s="12" t="str">
        <f>'[1]Costo Estandar'!B16</f>
        <v>Soporte de metal laterales</v>
      </c>
      <c r="B29" s="18">
        <v>36</v>
      </c>
      <c r="C29" s="18">
        <f>B29*(1+Premisas!$C$10)</f>
        <v>41.4</v>
      </c>
      <c r="D29" s="18">
        <f>C29*(1+Premisas!$D$10)</f>
        <v>45.54</v>
      </c>
      <c r="E29" s="18">
        <f>D29*(1+Premisas!$E$10)</f>
        <v>48.955499999999994</v>
      </c>
      <c r="F29" s="18">
        <f>E29*(1+Premisas!$F$10)</f>
        <v>52.382384999999999</v>
      </c>
    </row>
    <row r="30" spans="1:6" x14ac:dyDescent="0.2">
      <c r="A30" s="12" t="str">
        <f>'[1]Costo Estandar'!B17</f>
        <v>Unión eje trasero</v>
      </c>
      <c r="B30" s="18">
        <v>15</v>
      </c>
      <c r="C30" s="18">
        <f>B30*(1+Premisas!$C$10)</f>
        <v>17.25</v>
      </c>
      <c r="D30" s="18">
        <f>C30*(1+Premisas!$D$10)</f>
        <v>18.975000000000001</v>
      </c>
      <c r="E30" s="18">
        <f>D30*(1+Premisas!$E$10)</f>
        <v>20.398125</v>
      </c>
      <c r="F30" s="18">
        <f>E30*(1+Premisas!$F$10)</f>
        <v>21.825993750000002</v>
      </c>
    </row>
    <row r="31" spans="1:6" x14ac:dyDescent="0.2">
      <c r="A31" s="12" t="str">
        <f>'[1]Costo Estandar'!B18</f>
        <v>Base delantero (chasis)</v>
      </c>
      <c r="B31" s="18">
        <v>23</v>
      </c>
      <c r="C31" s="18">
        <f>B31*(1+Premisas!$C$10)</f>
        <v>26.45</v>
      </c>
      <c r="D31" s="18">
        <f>C31*(1+Premisas!$D$10)</f>
        <v>29.095000000000002</v>
      </c>
      <c r="E31" s="18">
        <f>D31*(1+Premisas!$E$10)</f>
        <v>31.277125000000002</v>
      </c>
      <c r="F31" s="18">
        <f>E31*(1+Premisas!$F$10)</f>
        <v>33.46652375</v>
      </c>
    </row>
    <row r="32" spans="1:6" x14ac:dyDescent="0.2">
      <c r="A32" s="12" t="str">
        <f>'[1]Costo Estandar'!B19</f>
        <v>Soporte L</v>
      </c>
      <c r="B32" s="18">
        <v>88</v>
      </c>
      <c r="C32" s="18">
        <f>B32*(1+Premisas!$C$10)</f>
        <v>101.19999999999999</v>
      </c>
      <c r="D32" s="18">
        <f>C32*(1+Premisas!$D$10)</f>
        <v>111.32</v>
      </c>
      <c r="E32" s="18">
        <f>D32*(1+Premisas!$E$10)</f>
        <v>119.66899999999998</v>
      </c>
      <c r="F32" s="18">
        <f>E32*(1+Premisas!$F$10)</f>
        <v>128.04583</v>
      </c>
    </row>
    <row r="33" spans="1:6" x14ac:dyDescent="0.2">
      <c r="A33" s="12" t="str">
        <f>'[1]Costo Estandar'!B20</f>
        <v>Puertas vino (chasis)</v>
      </c>
      <c r="B33" s="18">
        <v>54</v>
      </c>
      <c r="C33" s="18">
        <f>B33*(1+Premisas!$C$10)</f>
        <v>62.099999999999994</v>
      </c>
      <c r="D33" s="18">
        <f>C33*(1+Premisas!$D$10)</f>
        <v>68.31</v>
      </c>
      <c r="E33" s="18">
        <f>D33*(1+Premisas!$E$10)</f>
        <v>73.433250000000001</v>
      </c>
      <c r="F33" s="18">
        <f>E33*(1+Premisas!$F$10)</f>
        <v>78.573577499999999</v>
      </c>
    </row>
    <row r="34" spans="1:6" x14ac:dyDescent="0.2">
      <c r="A34" s="12" t="str">
        <f>'[1]Costo Estandar'!B21</f>
        <v>Bases manguera naranja</v>
      </c>
      <c r="B34" s="18">
        <v>44</v>
      </c>
      <c r="C34" s="18">
        <f>B34*(1+Premisas!$C$10)</f>
        <v>50.599999999999994</v>
      </c>
      <c r="D34" s="18">
        <f>C34*(1+Premisas!$D$10)</f>
        <v>55.66</v>
      </c>
      <c r="E34" s="18">
        <f>D34*(1+Premisas!$E$10)</f>
        <v>59.834499999999991</v>
      </c>
      <c r="F34" s="18">
        <f>E34*(1+Premisas!$F$10)</f>
        <v>64.022914999999998</v>
      </c>
    </row>
    <row r="35" spans="1:6" x14ac:dyDescent="0.2">
      <c r="A35" s="12" t="str">
        <f>'[1]Costo Estandar'!B22</f>
        <v>Tornillo bola chico</v>
      </c>
      <c r="B35" s="18">
        <v>59.5</v>
      </c>
      <c r="C35" s="18">
        <f>B35*(1+Premisas!$C$10)</f>
        <v>68.424999999999997</v>
      </c>
      <c r="D35" s="18">
        <f>C35*(1+Premisas!$D$10)</f>
        <v>75.267499999999998</v>
      </c>
      <c r="E35" s="18">
        <f>D35*(1+Premisas!$E$10)</f>
        <v>80.912562499999993</v>
      </c>
      <c r="F35" s="18">
        <f>E35*(1+Premisas!$F$10)</f>
        <v>86.576441875</v>
      </c>
    </row>
    <row r="36" spans="1:6" x14ac:dyDescent="0.2">
      <c r="A36" s="12" t="str">
        <f>'[1]Costo Estandar'!B23</f>
        <v>Tornillo bola mediano</v>
      </c>
      <c r="B36" s="18">
        <v>18</v>
      </c>
      <c r="C36" s="18">
        <f>B36*(1+Premisas!$C$10)</f>
        <v>20.7</v>
      </c>
      <c r="D36" s="18">
        <f>C36*(1+Premisas!$D$10)</f>
        <v>22.77</v>
      </c>
      <c r="E36" s="18">
        <f>D36*(1+Premisas!$E$10)</f>
        <v>24.477749999999997</v>
      </c>
      <c r="F36" s="18">
        <f>E36*(1+Premisas!$F$10)</f>
        <v>26.1911925</v>
      </c>
    </row>
    <row r="37" spans="1:6" x14ac:dyDescent="0.2">
      <c r="A37" s="12" t="str">
        <f>'[1]Costo Estandar'!B24</f>
        <v>Tornillo bola grande</v>
      </c>
      <c r="B37" s="18">
        <v>12</v>
      </c>
      <c r="C37" s="18">
        <f>B37*(1+Premisas!$C$10)</f>
        <v>13.799999999999999</v>
      </c>
      <c r="D37" s="18">
        <f>C37*(1+Premisas!$D$10)</f>
        <v>15.18</v>
      </c>
      <c r="E37" s="18">
        <f>D37*(1+Premisas!$E$10)</f>
        <v>16.3185</v>
      </c>
      <c r="F37" s="18">
        <f>E37*(1+Premisas!$F$10)</f>
        <v>17.460795000000001</v>
      </c>
    </row>
    <row r="38" spans="1:6" x14ac:dyDescent="0.2">
      <c r="A38" s="12" t="str">
        <f>'[1]Costo Estandar'!B25</f>
        <v>Tuercas</v>
      </c>
      <c r="B38" s="18">
        <v>57.5</v>
      </c>
      <c r="C38" s="18">
        <f>B38*(1+Premisas!$C$10)</f>
        <v>66.125</v>
      </c>
      <c r="D38" s="18">
        <f>C38*(1+Premisas!$D$10)</f>
        <v>72.737500000000011</v>
      </c>
      <c r="E38" s="18">
        <f>D38*(1+Premisas!$E$10)</f>
        <v>78.192812500000002</v>
      </c>
      <c r="F38" s="18">
        <f>E38*(1+Premisas!$F$10)</f>
        <v>83.666309375000012</v>
      </c>
    </row>
    <row r="39" spans="1:6" x14ac:dyDescent="0.2">
      <c r="A39" s="9" t="s">
        <v>43</v>
      </c>
      <c r="B39" s="18">
        <f>SUM(B17:B38)</f>
        <v>1095</v>
      </c>
      <c r="C39" s="18">
        <f>SUM(C17:C38)</f>
        <v>1259.2499999999998</v>
      </c>
      <c r="D39" s="18">
        <f>SUM(D17:D38)</f>
        <v>1385.175</v>
      </c>
      <c r="E39" s="18">
        <f>SUM(E17:E38)</f>
        <v>1489.0631250000001</v>
      </c>
      <c r="F39" s="18">
        <f>SUM(F17:F38)</f>
        <v>1593.2975437500002</v>
      </c>
    </row>
    <row r="40" spans="1:6" x14ac:dyDescent="0.2">
      <c r="A40" s="9" t="s">
        <v>44</v>
      </c>
      <c r="B40" s="13">
        <f>B3</f>
        <v>16500</v>
      </c>
      <c r="C40" s="13">
        <f>C3</f>
        <v>217714</v>
      </c>
      <c r="D40" s="13">
        <f>D3</f>
        <v>236464</v>
      </c>
      <c r="E40" s="13">
        <f>E3</f>
        <v>263864</v>
      </c>
      <c r="F40" s="13">
        <f>F3</f>
        <v>271402</v>
      </c>
    </row>
    <row r="41" spans="1:6" ht="13.5" thickBot="1" x14ac:dyDescent="0.25">
      <c r="A41" s="9" t="s">
        <v>45</v>
      </c>
      <c r="B41" s="14">
        <f>B39*B40</f>
        <v>18067500</v>
      </c>
      <c r="C41" s="14">
        <f t="shared" ref="C41:F41" si="6">C39*C40</f>
        <v>274156354.49999994</v>
      </c>
      <c r="D41" s="14">
        <f t="shared" si="6"/>
        <v>327544021.19999999</v>
      </c>
      <c r="E41" s="14">
        <f t="shared" si="6"/>
        <v>392910152.41500002</v>
      </c>
      <c r="F41" s="14">
        <f t="shared" si="6"/>
        <v>432424139.96883756</v>
      </c>
    </row>
    <row r="42" spans="1:6" ht="13.5" thickTop="1" x14ac:dyDescent="0.2"/>
    <row r="43" spans="1:6" x14ac:dyDescent="0.2">
      <c r="A43" t="s">
        <v>46</v>
      </c>
      <c r="B43" s="13">
        <f>B5-B41</f>
        <v>5032500</v>
      </c>
      <c r="C43" s="13">
        <f>C5-C41</f>
        <v>76363185.50000006</v>
      </c>
      <c r="D43" s="13">
        <f>D5-D41</f>
        <v>91233722.800000012</v>
      </c>
      <c r="E43" s="13">
        <f>E5-E41</f>
        <v>109440727.38499999</v>
      </c>
      <c r="F43" s="13">
        <f>F5-F41</f>
        <v>120446906.56666249</v>
      </c>
    </row>
    <row r="45" spans="1:6" x14ac:dyDescent="0.2">
      <c r="A45" s="5" t="s">
        <v>47</v>
      </c>
      <c r="B45" s="151">
        <v>2020</v>
      </c>
      <c r="C45" s="151">
        <f>B45+1</f>
        <v>2021</v>
      </c>
      <c r="D45" s="151">
        <f t="shared" ref="D45:F45" si="7">C45+1</f>
        <v>2022</v>
      </c>
      <c r="E45" s="151">
        <f t="shared" si="7"/>
        <v>2023</v>
      </c>
      <c r="F45" s="151">
        <f t="shared" si="7"/>
        <v>2024</v>
      </c>
    </row>
    <row r="46" spans="1:6" x14ac:dyDescent="0.2">
      <c r="A46" s="12" t="s">
        <v>321</v>
      </c>
      <c r="B46">
        <v>50</v>
      </c>
      <c r="C46">
        <v>50</v>
      </c>
      <c r="D46">
        <v>50</v>
      </c>
      <c r="E46">
        <v>50</v>
      </c>
      <c r="F46">
        <v>50</v>
      </c>
    </row>
    <row r="47" spans="1:6" x14ac:dyDescent="0.2">
      <c r="A47" s="12" t="s">
        <v>322</v>
      </c>
      <c r="B47">
        <v>24</v>
      </c>
      <c r="C47">
        <v>24</v>
      </c>
      <c r="D47">
        <v>24</v>
      </c>
      <c r="E47">
        <v>24</v>
      </c>
      <c r="F47">
        <v>24</v>
      </c>
    </row>
    <row r="48" spans="1:6" x14ac:dyDescent="0.2">
      <c r="A48" s="12" t="s">
        <v>323</v>
      </c>
      <c r="B48">
        <v>28</v>
      </c>
      <c r="C48">
        <v>28</v>
      </c>
      <c r="D48">
        <v>28</v>
      </c>
      <c r="E48">
        <v>28</v>
      </c>
      <c r="F48">
        <v>28</v>
      </c>
    </row>
    <row r="49" spans="1:6" x14ac:dyDescent="0.2">
      <c r="A49" s="12" t="s">
        <v>324</v>
      </c>
      <c r="B49">
        <v>40</v>
      </c>
      <c r="C49">
        <v>40</v>
      </c>
      <c r="D49">
        <v>40</v>
      </c>
      <c r="E49">
        <v>40</v>
      </c>
      <c r="F49">
        <v>40</v>
      </c>
    </row>
    <row r="50" spans="1:6" x14ac:dyDescent="0.2">
      <c r="A50" s="12" t="s">
        <v>325</v>
      </c>
      <c r="B50">
        <v>24</v>
      </c>
      <c r="C50">
        <v>24</v>
      </c>
      <c r="D50">
        <v>24</v>
      </c>
      <c r="E50">
        <v>24</v>
      </c>
      <c r="F50">
        <v>24</v>
      </c>
    </row>
    <row r="51" spans="1:6" x14ac:dyDescent="0.2">
      <c r="A51" s="12" t="s">
        <v>326</v>
      </c>
      <c r="B51">
        <v>10</v>
      </c>
      <c r="C51">
        <v>10</v>
      </c>
      <c r="D51">
        <v>10</v>
      </c>
      <c r="E51">
        <v>10</v>
      </c>
      <c r="F51">
        <v>10</v>
      </c>
    </row>
    <row r="52" spans="1:6" x14ac:dyDescent="0.2">
      <c r="A52" s="12" t="s">
        <v>327</v>
      </c>
      <c r="B52">
        <v>17</v>
      </c>
      <c r="C52">
        <v>17</v>
      </c>
      <c r="D52">
        <v>17</v>
      </c>
      <c r="E52">
        <v>17</v>
      </c>
      <c r="F52">
        <v>17</v>
      </c>
    </row>
    <row r="53" spans="1:6" x14ac:dyDescent="0.2">
      <c r="A53" s="12" t="s">
        <v>328</v>
      </c>
      <c r="B53">
        <v>80</v>
      </c>
      <c r="C53">
        <v>80</v>
      </c>
      <c r="D53">
        <v>80</v>
      </c>
      <c r="E53">
        <v>80</v>
      </c>
      <c r="F53">
        <v>80</v>
      </c>
    </row>
    <row r="54" spans="1:6" x14ac:dyDescent="0.2">
      <c r="A54" s="12" t="s">
        <v>329</v>
      </c>
      <c r="B54">
        <v>36</v>
      </c>
      <c r="C54">
        <v>36</v>
      </c>
      <c r="D54">
        <v>36</v>
      </c>
      <c r="E54">
        <v>36</v>
      </c>
      <c r="F54">
        <v>36</v>
      </c>
    </row>
    <row r="55" spans="1:6" x14ac:dyDescent="0.2">
      <c r="A55" s="12" t="s">
        <v>330</v>
      </c>
      <c r="B55">
        <v>45</v>
      </c>
      <c r="C55">
        <v>45</v>
      </c>
      <c r="D55">
        <v>45</v>
      </c>
      <c r="E55">
        <v>45</v>
      </c>
      <c r="F55">
        <v>45</v>
      </c>
    </row>
    <row r="56" spans="1:6" x14ac:dyDescent="0.2">
      <c r="A56" s="12" t="s">
        <v>331</v>
      </c>
      <c r="B56">
        <v>25</v>
      </c>
      <c r="C56">
        <v>25</v>
      </c>
      <c r="D56">
        <v>25</v>
      </c>
      <c r="E56">
        <v>25</v>
      </c>
      <c r="F56">
        <v>25</v>
      </c>
    </row>
    <row r="57" spans="1:6" x14ac:dyDescent="0.2">
      <c r="A57" s="12" t="s">
        <v>332</v>
      </c>
      <c r="B57">
        <v>24</v>
      </c>
      <c r="C57">
        <v>24</v>
      </c>
      <c r="D57">
        <v>24</v>
      </c>
      <c r="E57">
        <v>24</v>
      </c>
      <c r="F57">
        <v>24</v>
      </c>
    </row>
    <row r="58" spans="1:6" x14ac:dyDescent="0.2">
      <c r="A58" s="12" t="s">
        <v>333</v>
      </c>
      <c r="B58">
        <v>16</v>
      </c>
      <c r="C58">
        <v>16</v>
      </c>
      <c r="D58">
        <v>16</v>
      </c>
      <c r="E58">
        <v>16</v>
      </c>
      <c r="F58">
        <v>16</v>
      </c>
    </row>
    <row r="59" spans="1:6" x14ac:dyDescent="0.2">
      <c r="A59" s="12" t="s">
        <v>334</v>
      </c>
      <c r="B59">
        <v>11</v>
      </c>
      <c r="C59">
        <v>11</v>
      </c>
      <c r="D59">
        <v>11</v>
      </c>
      <c r="E59">
        <v>11</v>
      </c>
      <c r="F59">
        <v>11</v>
      </c>
    </row>
    <row r="60" spans="1:6" x14ac:dyDescent="0.2">
      <c r="A60" s="12" t="s">
        <v>335</v>
      </c>
      <c r="B60">
        <v>12</v>
      </c>
      <c r="C60">
        <v>12</v>
      </c>
      <c r="D60">
        <v>12</v>
      </c>
      <c r="E60">
        <v>12</v>
      </c>
      <c r="F60">
        <v>12</v>
      </c>
    </row>
    <row r="61" spans="1:6" x14ac:dyDescent="0.2">
      <c r="A61" s="12" t="s">
        <v>336</v>
      </c>
      <c r="B61">
        <v>64</v>
      </c>
      <c r="C61">
        <v>64</v>
      </c>
      <c r="D61">
        <v>64</v>
      </c>
      <c r="E61">
        <v>64</v>
      </c>
      <c r="F61">
        <v>64</v>
      </c>
    </row>
    <row r="62" spans="1:6" x14ac:dyDescent="0.2">
      <c r="A62" s="12" t="s">
        <v>337</v>
      </c>
      <c r="B62">
        <v>26</v>
      </c>
      <c r="C62">
        <v>26</v>
      </c>
      <c r="D62">
        <v>26</v>
      </c>
      <c r="E62">
        <v>26</v>
      </c>
      <c r="F62">
        <v>26</v>
      </c>
    </row>
    <row r="63" spans="1:6" x14ac:dyDescent="0.2">
      <c r="A63" s="12" t="s">
        <v>338</v>
      </c>
      <c r="B63">
        <v>26</v>
      </c>
      <c r="C63">
        <v>26</v>
      </c>
      <c r="D63">
        <v>26</v>
      </c>
      <c r="E63">
        <v>26</v>
      </c>
      <c r="F63">
        <v>26</v>
      </c>
    </row>
    <row r="64" spans="1:6" x14ac:dyDescent="0.2">
      <c r="A64" s="12" t="s">
        <v>339</v>
      </c>
      <c r="B64">
        <v>59.5</v>
      </c>
      <c r="C64">
        <v>59.5</v>
      </c>
      <c r="D64">
        <v>59.5</v>
      </c>
      <c r="E64">
        <v>59.5</v>
      </c>
      <c r="F64">
        <v>59.5</v>
      </c>
    </row>
    <row r="65" spans="1:6" x14ac:dyDescent="0.2">
      <c r="A65" s="12" t="s">
        <v>340</v>
      </c>
      <c r="B65">
        <v>14</v>
      </c>
      <c r="C65">
        <v>14</v>
      </c>
      <c r="D65">
        <v>14</v>
      </c>
      <c r="E65">
        <v>14</v>
      </c>
      <c r="F65">
        <v>14</v>
      </c>
    </row>
    <row r="66" spans="1:6" x14ac:dyDescent="0.2">
      <c r="A66" s="12" t="s">
        <v>341</v>
      </c>
      <c r="B66">
        <v>10</v>
      </c>
      <c r="C66">
        <v>10</v>
      </c>
      <c r="D66">
        <v>10</v>
      </c>
      <c r="E66">
        <v>10</v>
      </c>
      <c r="F66">
        <v>10</v>
      </c>
    </row>
    <row r="67" spans="1:6" x14ac:dyDescent="0.2">
      <c r="A67" s="12" t="s">
        <v>342</v>
      </c>
      <c r="B67">
        <v>57.5</v>
      </c>
      <c r="C67">
        <v>57.5</v>
      </c>
      <c r="D67">
        <v>57.5</v>
      </c>
      <c r="E67">
        <v>57.5</v>
      </c>
      <c r="F67">
        <v>57.5</v>
      </c>
    </row>
    <row r="68" spans="1:6" x14ac:dyDescent="0.2">
      <c r="A68" s="9" t="s">
        <v>43</v>
      </c>
      <c r="B68" s="18">
        <f>SUM(B46:B67)</f>
        <v>699</v>
      </c>
      <c r="C68" s="18">
        <f>SUM(C46:C67)</f>
        <v>699</v>
      </c>
      <c r="D68" s="18">
        <f>SUM(D46:D67)</f>
        <v>699</v>
      </c>
      <c r="E68" s="18">
        <f>SUM(E46:E67)</f>
        <v>699</v>
      </c>
      <c r="F68" s="18">
        <f>SUM(F46:F67)</f>
        <v>699</v>
      </c>
    </row>
    <row r="69" spans="1:6" s="7" customFormat="1" x14ac:dyDescent="0.2">
      <c r="A69" s="9" t="s">
        <v>48</v>
      </c>
      <c r="B69" s="13">
        <f>B8</f>
        <v>138340</v>
      </c>
      <c r="C69" s="13">
        <f>C8</f>
        <v>153560</v>
      </c>
      <c r="D69" s="13">
        <f>D8</f>
        <v>145854</v>
      </c>
      <c r="E69" s="13">
        <f>E8</f>
        <v>156454</v>
      </c>
      <c r="F69" s="13">
        <f>F8</f>
        <v>79316</v>
      </c>
    </row>
    <row r="70" spans="1:6" ht="13.5" thickBot="1" x14ac:dyDescent="0.25">
      <c r="A70" s="9" t="s">
        <v>49</v>
      </c>
      <c r="B70" s="14">
        <f>B68*B69</f>
        <v>96699660</v>
      </c>
      <c r="C70" s="14">
        <f t="shared" ref="C70:F70" si="8">C68*C69</f>
        <v>107338440</v>
      </c>
      <c r="D70" s="14">
        <f t="shared" si="8"/>
        <v>101951946</v>
      </c>
      <c r="E70" s="14">
        <f t="shared" si="8"/>
        <v>109361346</v>
      </c>
      <c r="F70" s="14">
        <f t="shared" si="8"/>
        <v>55441884</v>
      </c>
    </row>
    <row r="71" spans="1:6" ht="13.5" thickTop="1" x14ac:dyDescent="0.2"/>
    <row r="352" spans="1:6" x14ac:dyDescent="0.2">
      <c r="A352" s="2"/>
      <c r="B352" s="2"/>
      <c r="C352" s="2"/>
      <c r="D352" s="2"/>
      <c r="E352" s="2"/>
      <c r="F352" s="2"/>
    </row>
    <row r="353" spans="1:6" x14ac:dyDescent="0.2">
      <c r="A353" s="2"/>
      <c r="B353" s="2"/>
      <c r="C353" s="2"/>
      <c r="D353" s="2"/>
      <c r="E353" s="2"/>
      <c r="F353" s="2"/>
    </row>
    <row r="354" spans="1:6" x14ac:dyDescent="0.2">
      <c r="A354" s="2"/>
      <c r="B354" s="2"/>
      <c r="C354" s="2"/>
      <c r="D354" s="2"/>
      <c r="E354" s="2"/>
      <c r="F354" s="2"/>
    </row>
    <row r="355" spans="1:6" x14ac:dyDescent="0.2">
      <c r="A355" s="2"/>
      <c r="B355" s="2"/>
      <c r="C355" s="2"/>
      <c r="D355" s="2"/>
      <c r="E355" s="2"/>
      <c r="F355" s="2"/>
    </row>
    <row r="356" spans="1:6" x14ac:dyDescent="0.2">
      <c r="A356" s="2"/>
      <c r="B356" s="2"/>
      <c r="C356" s="2"/>
      <c r="D356" s="2"/>
      <c r="E356" s="2"/>
      <c r="F356" s="2"/>
    </row>
    <row r="357" spans="1:6" x14ac:dyDescent="0.2">
      <c r="A357" s="2"/>
      <c r="B357" s="2"/>
      <c r="C357" s="2"/>
      <c r="D357" s="2"/>
      <c r="E357" s="2"/>
      <c r="F357" s="2"/>
    </row>
    <row r="358" spans="1:6" x14ac:dyDescent="0.2">
      <c r="A358" s="2"/>
      <c r="B358" s="2"/>
      <c r="C358" s="2"/>
      <c r="D358" s="2"/>
      <c r="E358" s="2"/>
      <c r="F358" s="2"/>
    </row>
    <row r="359" spans="1:6" x14ac:dyDescent="0.2">
      <c r="A359" s="2"/>
      <c r="B359" s="2"/>
      <c r="C359" s="2"/>
      <c r="D359" s="2"/>
      <c r="E359" s="2"/>
      <c r="F359" s="2"/>
    </row>
    <row r="360" spans="1:6" x14ac:dyDescent="0.2">
      <c r="A360" s="2"/>
      <c r="B360" s="2"/>
      <c r="C360" s="2"/>
      <c r="D360" s="2"/>
      <c r="E360" s="2"/>
      <c r="F360" s="2"/>
    </row>
    <row r="361" spans="1:6" x14ac:dyDescent="0.2">
      <c r="A361" s="2"/>
      <c r="B361" s="2"/>
      <c r="C361" s="2"/>
      <c r="D361" s="2"/>
      <c r="E361" s="2"/>
      <c r="F361" s="2"/>
    </row>
    <row r="362" spans="1:6" x14ac:dyDescent="0.2">
      <c r="A362" s="2"/>
      <c r="B362" s="2"/>
      <c r="C362" s="2"/>
      <c r="D362" s="2"/>
      <c r="E362" s="2"/>
      <c r="F362" s="2"/>
    </row>
    <row r="363" spans="1:6" x14ac:dyDescent="0.2">
      <c r="A363" s="2"/>
      <c r="B363" s="2"/>
      <c r="C363" s="2"/>
      <c r="D363" s="2"/>
      <c r="E363" s="2"/>
      <c r="F363" s="2"/>
    </row>
    <row r="364" spans="1:6" x14ac:dyDescent="0.2">
      <c r="A364" s="2"/>
      <c r="B364" s="2"/>
      <c r="C364" s="2"/>
      <c r="D364" s="2"/>
      <c r="E364" s="2"/>
      <c r="F364" s="2"/>
    </row>
    <row r="365" spans="1:6" x14ac:dyDescent="0.2">
      <c r="A365" s="2"/>
      <c r="B365" s="2"/>
      <c r="C365" s="2"/>
      <c r="D365" s="2"/>
      <c r="E365" s="2"/>
      <c r="F365" s="2"/>
    </row>
    <row r="366" spans="1:6" x14ac:dyDescent="0.2">
      <c r="A366" s="2"/>
      <c r="B366" s="2"/>
      <c r="C366" s="2"/>
      <c r="D366" s="2"/>
      <c r="E366" s="2"/>
      <c r="F366" s="2"/>
    </row>
    <row r="367" spans="1:6" x14ac:dyDescent="0.2">
      <c r="A367" s="2"/>
      <c r="B367" s="2"/>
      <c r="C367" s="2"/>
      <c r="D367" s="2"/>
      <c r="E367" s="2"/>
      <c r="F367" s="2"/>
    </row>
    <row r="368" spans="1:6" x14ac:dyDescent="0.2">
      <c r="A368" s="2"/>
      <c r="B368" s="2"/>
      <c r="C368" s="2"/>
      <c r="D368" s="2"/>
      <c r="E368" s="2"/>
      <c r="F368" s="2"/>
    </row>
    <row r="369" spans="1:6" x14ac:dyDescent="0.2">
      <c r="A369" s="2"/>
      <c r="B369" s="2"/>
      <c r="C369" s="2"/>
      <c r="D369" s="2"/>
      <c r="E369" s="2"/>
      <c r="F369" s="2"/>
    </row>
    <row r="370" spans="1:6" x14ac:dyDescent="0.2">
      <c r="A370" s="2"/>
      <c r="B370" s="2"/>
      <c r="C370" s="2"/>
      <c r="D370" s="2"/>
      <c r="E370" s="2"/>
      <c r="F370" s="2"/>
    </row>
    <row r="371" spans="1:6" x14ac:dyDescent="0.2">
      <c r="A371" s="2"/>
      <c r="B371" s="2"/>
      <c r="C371" s="2"/>
      <c r="D371" s="2"/>
      <c r="E371" s="2"/>
      <c r="F371" s="2"/>
    </row>
    <row r="372" spans="1:6" x14ac:dyDescent="0.2">
      <c r="A372" s="2"/>
      <c r="B372" s="2"/>
      <c r="C372" s="2"/>
      <c r="D372" s="2"/>
      <c r="E372" s="2"/>
      <c r="F372" s="2"/>
    </row>
    <row r="373" spans="1:6" x14ac:dyDescent="0.2">
      <c r="A373" s="2"/>
      <c r="B373" s="2"/>
      <c r="C373" s="2"/>
      <c r="D373" s="2"/>
      <c r="E373" s="2"/>
      <c r="F373" s="2"/>
    </row>
    <row r="374" spans="1:6" x14ac:dyDescent="0.2">
      <c r="A374" s="2"/>
      <c r="B374" s="2"/>
      <c r="C374" s="2"/>
      <c r="D374" s="2"/>
      <c r="E374" s="2"/>
      <c r="F374" s="2"/>
    </row>
    <row r="375" spans="1:6" x14ac:dyDescent="0.2">
      <c r="A375" s="2"/>
      <c r="B375" s="2"/>
      <c r="C375" s="2"/>
      <c r="D375" s="2"/>
      <c r="E375" s="2"/>
      <c r="F375" s="2"/>
    </row>
    <row r="376" spans="1:6" x14ac:dyDescent="0.2">
      <c r="A376" s="2"/>
      <c r="B376" s="2"/>
      <c r="C376" s="2"/>
      <c r="D376" s="2"/>
      <c r="E376" s="2"/>
      <c r="F376" s="2"/>
    </row>
    <row r="377" spans="1:6" x14ac:dyDescent="0.2">
      <c r="A377" s="2"/>
      <c r="B377" s="2"/>
      <c r="C377" s="2"/>
      <c r="D377" s="2"/>
      <c r="E377" s="2"/>
      <c r="F377" s="2"/>
    </row>
    <row r="378" spans="1:6" x14ac:dyDescent="0.2">
      <c r="A378" s="2"/>
      <c r="B378" s="2"/>
      <c r="C378" s="2"/>
      <c r="D378" s="2"/>
      <c r="E378" s="2"/>
      <c r="F378" s="2"/>
    </row>
    <row r="379" spans="1:6" x14ac:dyDescent="0.2">
      <c r="A379" s="2"/>
      <c r="B379" s="2"/>
      <c r="C379" s="2"/>
      <c r="D379" s="2"/>
      <c r="E379" s="2"/>
      <c r="F379" s="2"/>
    </row>
    <row r="380" spans="1:6" x14ac:dyDescent="0.2">
      <c r="A380" s="2"/>
      <c r="B380" s="2"/>
      <c r="C380" s="2"/>
      <c r="D380" s="2"/>
      <c r="E380" s="2"/>
      <c r="F380" s="2"/>
    </row>
    <row r="381" spans="1:6" x14ac:dyDescent="0.2">
      <c r="A381" s="2"/>
      <c r="B381" s="2"/>
      <c r="C381" s="2"/>
      <c r="D381" s="2"/>
      <c r="E381" s="2"/>
      <c r="F381" s="2"/>
    </row>
    <row r="382" spans="1:6" x14ac:dyDescent="0.2">
      <c r="A382" s="2"/>
      <c r="B382" s="2"/>
      <c r="C382" s="2"/>
      <c r="D382" s="2"/>
      <c r="E382" s="2"/>
      <c r="F382" s="2"/>
    </row>
    <row r="383" spans="1:6" x14ac:dyDescent="0.2">
      <c r="A383" s="2"/>
      <c r="B383" s="2"/>
      <c r="C383" s="2"/>
      <c r="D383" s="2"/>
      <c r="E383" s="2"/>
      <c r="F383" s="2"/>
    </row>
    <row r="384" spans="1:6" x14ac:dyDescent="0.2">
      <c r="A384" s="2"/>
      <c r="B384" s="2"/>
      <c r="C384" s="2"/>
      <c r="D384" s="2"/>
      <c r="E384" s="2"/>
      <c r="F384" s="2"/>
    </row>
    <row r="385" spans="1:6" x14ac:dyDescent="0.2">
      <c r="A385" s="2"/>
      <c r="B385" s="2"/>
      <c r="C385" s="2"/>
      <c r="D385" s="2"/>
      <c r="E385" s="2"/>
      <c r="F385" s="2"/>
    </row>
    <row r="386" spans="1:6" x14ac:dyDescent="0.2">
      <c r="A386" s="2"/>
      <c r="B386" s="2"/>
      <c r="C386" s="2"/>
      <c r="D386" s="2"/>
      <c r="E386" s="2"/>
      <c r="F386" s="2"/>
    </row>
    <row r="387" spans="1:6" x14ac:dyDescent="0.2">
      <c r="A387" s="2"/>
      <c r="B387" s="2"/>
      <c r="C387" s="2"/>
      <c r="D387" s="2"/>
      <c r="E387" s="2"/>
      <c r="F387" s="2"/>
    </row>
    <row r="388" spans="1:6" x14ac:dyDescent="0.2">
      <c r="A388" s="2"/>
      <c r="B388" s="2"/>
      <c r="C388" s="2"/>
      <c r="D388" s="2"/>
      <c r="E388" s="2"/>
      <c r="F388" s="2"/>
    </row>
    <row r="389" spans="1:6" x14ac:dyDescent="0.2">
      <c r="A389" s="2"/>
      <c r="B389" s="2"/>
      <c r="C389" s="2"/>
      <c r="D389" s="2"/>
      <c r="E389" s="2"/>
      <c r="F389" s="2"/>
    </row>
    <row r="390" spans="1:6" x14ac:dyDescent="0.2">
      <c r="A390" s="2"/>
      <c r="B390" s="2"/>
      <c r="C390" s="2"/>
      <c r="D390" s="2"/>
      <c r="E390" s="2"/>
      <c r="F390" s="2"/>
    </row>
    <row r="391" spans="1:6" x14ac:dyDescent="0.2">
      <c r="A391" s="2"/>
      <c r="B391" s="2"/>
      <c r="C391" s="2"/>
      <c r="D391" s="2"/>
      <c r="E391" s="2"/>
      <c r="F391" s="2"/>
    </row>
    <row r="392" spans="1:6" x14ac:dyDescent="0.2">
      <c r="A392" s="2"/>
      <c r="B392" s="2"/>
      <c r="C392" s="2"/>
      <c r="D392" s="2"/>
      <c r="E392" s="2"/>
      <c r="F392" s="2"/>
    </row>
    <row r="393" spans="1:6" x14ac:dyDescent="0.2">
      <c r="A393" s="2"/>
      <c r="B393" s="2"/>
      <c r="C393" s="2"/>
      <c r="D393" s="2"/>
      <c r="E393" s="2"/>
      <c r="F393" s="2"/>
    </row>
    <row r="394" spans="1:6" x14ac:dyDescent="0.2">
      <c r="A394" s="2"/>
      <c r="B394" s="2"/>
      <c r="C394" s="2"/>
      <c r="D394" s="2"/>
      <c r="E394" s="2"/>
      <c r="F394" s="2"/>
    </row>
    <row r="395" spans="1:6" x14ac:dyDescent="0.2">
      <c r="A395" s="2"/>
      <c r="B395" s="2"/>
      <c r="C395" s="2"/>
      <c r="D395" s="2"/>
      <c r="E395" s="2"/>
      <c r="F395" s="2"/>
    </row>
    <row r="396" spans="1:6" x14ac:dyDescent="0.2">
      <c r="A396" s="2"/>
      <c r="B396" s="2"/>
      <c r="C396" s="2"/>
      <c r="D396" s="2"/>
      <c r="E396" s="2"/>
      <c r="F396" s="2"/>
    </row>
    <row r="397" spans="1:6" x14ac:dyDescent="0.2">
      <c r="A397" s="2"/>
      <c r="B397" s="2"/>
      <c r="C397" s="2"/>
      <c r="D397" s="2"/>
      <c r="E397" s="2"/>
      <c r="F397" s="2"/>
    </row>
    <row r="398" spans="1:6" x14ac:dyDescent="0.2">
      <c r="A398" s="2"/>
      <c r="B398" s="2"/>
      <c r="C398" s="2"/>
      <c r="D398" s="2"/>
      <c r="E398" s="2"/>
      <c r="F398" s="2"/>
    </row>
    <row r="399" spans="1:6" x14ac:dyDescent="0.2">
      <c r="A399" s="2"/>
      <c r="B399" s="2"/>
      <c r="C399" s="2"/>
      <c r="D399" s="2"/>
      <c r="E399" s="2"/>
      <c r="F399" s="2"/>
    </row>
    <row r="400" spans="1:6" x14ac:dyDescent="0.2">
      <c r="A400" s="2"/>
      <c r="B400" s="2"/>
      <c r="C400" s="2"/>
      <c r="D400" s="2"/>
      <c r="E400" s="2"/>
      <c r="F400" s="2"/>
    </row>
    <row r="401" spans="1:6" x14ac:dyDescent="0.2">
      <c r="A401" s="2"/>
      <c r="B401" s="2"/>
      <c r="C401" s="2"/>
      <c r="D401" s="2"/>
      <c r="E401" s="2"/>
      <c r="F401" s="2"/>
    </row>
    <row r="402" spans="1:6" x14ac:dyDescent="0.2">
      <c r="A402" s="2"/>
      <c r="B402" s="2"/>
      <c r="C402" s="2"/>
      <c r="D402" s="2"/>
      <c r="E402" s="2"/>
      <c r="F402" s="2"/>
    </row>
    <row r="403" spans="1:6" x14ac:dyDescent="0.2">
      <c r="A403" s="2"/>
      <c r="B403" s="2"/>
      <c r="C403" s="2"/>
      <c r="D403" s="2"/>
      <c r="E403" s="2"/>
      <c r="F403" s="2"/>
    </row>
    <row r="404" spans="1:6" x14ac:dyDescent="0.2">
      <c r="A404" s="2"/>
      <c r="B404" s="2"/>
      <c r="C404" s="2"/>
      <c r="D404" s="2"/>
      <c r="E404" s="2"/>
      <c r="F404" s="2"/>
    </row>
    <row r="405" spans="1:6" x14ac:dyDescent="0.2">
      <c r="A405" s="2"/>
      <c r="B405" s="2"/>
      <c r="C405" s="2"/>
      <c r="D405" s="2"/>
      <c r="E405" s="2"/>
      <c r="F405" s="2"/>
    </row>
  </sheetData>
  <phoneticPr fontId="2" type="noConversion"/>
  <printOptions gridLines="1" gridLinesSet="0"/>
  <pageMargins left="0.75" right="0.75" top="1" bottom="1" header="0.511811024" footer="0.511811024"/>
  <pageSetup paperSize="9" orientation="portrait" horizontalDpi="200" verticalDpi="200" r:id="rId1"/>
  <headerFooter alignWithMargins="0">
    <oddHeader>&amp;A</oddHeader>
    <oddFooter>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syncVertical="1" syncRef="P1" transitionEvaluation="1" transitionEntry="1"/>
  <dimension ref="A1:BM330"/>
  <sheetViews>
    <sheetView showGridLines="0" showZeros="0" topLeftCell="P1" zoomScale="95" zoomScaleNormal="95" workbookViewId="0">
      <selection activeCell="U5" sqref="U5"/>
    </sheetView>
  </sheetViews>
  <sheetFormatPr baseColWidth="10" defaultColWidth="8.42578125" defaultRowHeight="12.75" x14ac:dyDescent="0.2"/>
  <cols>
    <col min="1" max="1" width="13.42578125" style="57" customWidth="1"/>
    <col min="2" max="2" width="26" style="57" customWidth="1"/>
    <col min="3" max="3" width="13.7109375" style="57" customWidth="1"/>
    <col min="4" max="4" width="12" style="57" customWidth="1"/>
    <col min="5" max="6" width="5.140625" style="57" customWidth="1"/>
    <col min="7" max="8" width="5.85546875" style="57" customWidth="1"/>
    <col min="9" max="9" width="17.85546875" style="57" hidden="1" customWidth="1"/>
    <col min="10" max="10" width="10.28515625" style="57" customWidth="1"/>
    <col min="11" max="11" width="5.85546875" style="57" customWidth="1"/>
    <col min="12" max="12" width="6.7109375" style="57" customWidth="1"/>
    <col min="13" max="14" width="5.85546875" style="57" customWidth="1"/>
    <col min="15" max="15" width="5.85546875" style="57" hidden="1" customWidth="1"/>
    <col min="16" max="17" width="5.85546875" style="57" customWidth="1"/>
    <col min="18" max="18" width="6.7109375" style="57" hidden="1" customWidth="1"/>
    <col min="19" max="19" width="10.28515625" style="57" customWidth="1"/>
    <col min="20" max="24" width="5.85546875" style="57" customWidth="1"/>
    <col min="25" max="25" width="5.85546875" style="57" hidden="1" customWidth="1"/>
    <col min="26" max="27" width="5.85546875" style="57" customWidth="1"/>
    <col min="28" max="28" width="6.7109375" style="57" hidden="1" customWidth="1"/>
    <col min="29" max="29" width="10.28515625" style="57" customWidth="1"/>
    <col min="30" max="34" width="5.85546875" style="57" customWidth="1"/>
    <col min="35" max="35" width="5.85546875" style="57" hidden="1" customWidth="1"/>
    <col min="36" max="37" width="5.85546875" style="57" customWidth="1"/>
    <col min="38" max="38" width="6.7109375" style="57" hidden="1" customWidth="1"/>
    <col min="39" max="39" width="10.28515625" style="57" customWidth="1"/>
    <col min="40" max="44" width="5.85546875" style="57" customWidth="1"/>
    <col min="45" max="45" width="5.85546875" style="57" hidden="1" customWidth="1"/>
    <col min="46" max="47" width="5.85546875" style="57" customWidth="1"/>
    <col min="48" max="48" width="6.7109375" style="57" hidden="1" customWidth="1"/>
    <col min="49" max="49" width="10.28515625" style="57" customWidth="1"/>
    <col min="50" max="54" width="5.85546875" style="57" customWidth="1"/>
    <col min="55" max="55" width="5.85546875" style="57" hidden="1" customWidth="1"/>
    <col min="56" max="57" width="5.85546875" style="57" customWidth="1"/>
    <col min="58" max="58" width="6.7109375" style="57" hidden="1" customWidth="1"/>
    <col min="59" max="59" width="10.28515625" style="57" customWidth="1"/>
    <col min="60" max="64" width="5.85546875" style="57" customWidth="1"/>
    <col min="65" max="65" width="6.7109375" style="57" hidden="1" customWidth="1"/>
    <col min="66" max="16384" width="8.42578125" style="57"/>
  </cols>
  <sheetData>
    <row r="1" spans="1:65" x14ac:dyDescent="0.2">
      <c r="A1" s="178" t="s">
        <v>54</v>
      </c>
      <c r="B1" s="179" t="s">
        <v>294</v>
      </c>
      <c r="C1" s="219"/>
      <c r="D1" s="220"/>
      <c r="E1" s="220"/>
      <c r="F1" s="220"/>
      <c r="G1" s="221"/>
      <c r="H1" s="187" t="s">
        <v>304</v>
      </c>
      <c r="I1" s="188"/>
      <c r="J1" s="189">
        <v>3</v>
      </c>
      <c r="K1" s="190"/>
      <c r="L1" s="188"/>
      <c r="M1" s="188"/>
      <c r="N1" s="188"/>
      <c r="O1" s="188"/>
      <c r="P1" s="187"/>
      <c r="Q1" s="188"/>
      <c r="R1" s="188"/>
      <c r="S1" s="190"/>
      <c r="T1" s="188"/>
      <c r="U1" s="188"/>
      <c r="V1" s="188"/>
      <c r="W1" s="188"/>
      <c r="X1" s="205"/>
      <c r="Y1" s="205"/>
      <c r="Z1" s="188"/>
      <c r="AA1" s="188"/>
      <c r="AB1" s="188"/>
      <c r="AC1" s="190"/>
      <c r="AD1" s="188"/>
      <c r="AE1" s="188"/>
      <c r="AF1" s="188"/>
      <c r="AG1" s="188"/>
      <c r="AH1" s="205"/>
      <c r="AI1" s="205"/>
      <c r="AJ1" s="188"/>
      <c r="AK1" s="188"/>
      <c r="AL1" s="188"/>
      <c r="AM1" s="190"/>
      <c r="AN1" s="188"/>
      <c r="AO1" s="188"/>
      <c r="AP1" s="188"/>
      <c r="AQ1" s="188"/>
      <c r="AR1" s="205"/>
      <c r="AS1" s="205"/>
      <c r="AT1" s="187"/>
      <c r="AU1" s="188"/>
      <c r="AV1" s="188"/>
      <c r="AW1" s="190"/>
      <c r="AX1" s="188"/>
      <c r="AY1" s="188"/>
      <c r="AZ1" s="188"/>
      <c r="BA1" s="188"/>
      <c r="BB1" s="188"/>
      <c r="BC1" s="188"/>
      <c r="BD1" s="187"/>
      <c r="BE1" s="188"/>
      <c r="BF1" s="188"/>
      <c r="BG1" s="190"/>
      <c r="BH1" s="188"/>
      <c r="BI1" s="188"/>
      <c r="BJ1" s="188"/>
      <c r="BK1" s="188"/>
      <c r="BL1" s="205"/>
      <c r="BM1" s="56"/>
    </row>
    <row r="2" spans="1:65" x14ac:dyDescent="0.2">
      <c r="A2" s="180"/>
      <c r="B2" s="181"/>
      <c r="C2" s="222" t="s">
        <v>55</v>
      </c>
      <c r="D2" s="223"/>
      <c r="E2" s="224" t="s">
        <v>56</v>
      </c>
      <c r="F2" s="225"/>
      <c r="G2" s="226"/>
      <c r="H2" s="191" t="s">
        <v>305</v>
      </c>
      <c r="I2" s="192"/>
      <c r="J2" s="193">
        <v>3</v>
      </c>
      <c r="K2" s="192"/>
      <c r="L2" s="192"/>
      <c r="M2" s="192"/>
      <c r="N2" s="192"/>
      <c r="O2" s="192"/>
      <c r="P2" s="206" t="s">
        <v>56</v>
      </c>
      <c r="Q2" s="192"/>
      <c r="R2" s="192"/>
      <c r="S2" s="198">
        <f>volumenes!B27</f>
        <v>154840</v>
      </c>
      <c r="T2" s="192"/>
      <c r="U2" s="192"/>
      <c r="V2" s="192"/>
      <c r="W2" s="192"/>
      <c r="X2" s="207"/>
      <c r="Y2" s="207"/>
      <c r="Z2" s="201" t="s">
        <v>56</v>
      </c>
      <c r="AA2" s="192"/>
      <c r="AB2" s="192"/>
      <c r="AC2" s="198">
        <f>volumenes!D27</f>
        <v>371274</v>
      </c>
      <c r="AD2" s="192"/>
      <c r="AE2" s="192"/>
      <c r="AF2" s="192"/>
      <c r="AG2" s="192"/>
      <c r="AH2" s="207"/>
      <c r="AI2" s="207"/>
      <c r="AJ2" s="201" t="s">
        <v>56</v>
      </c>
      <c r="AK2" s="192"/>
      <c r="AL2" s="192"/>
      <c r="AM2" s="198">
        <f>volumenes!F27</f>
        <v>382318</v>
      </c>
      <c r="AN2" s="192"/>
      <c r="AO2" s="192"/>
      <c r="AP2" s="192"/>
      <c r="AQ2" s="192"/>
      <c r="AR2" s="207"/>
      <c r="AS2" s="207"/>
      <c r="AT2" s="206" t="s">
        <v>56</v>
      </c>
      <c r="AU2" s="192"/>
      <c r="AV2" s="192"/>
      <c r="AW2" s="198">
        <f>volumenes!H27</f>
        <v>420318</v>
      </c>
      <c r="AX2" s="192"/>
      <c r="AY2" s="192"/>
      <c r="AZ2" s="192"/>
      <c r="BA2" s="192"/>
      <c r="BB2" s="192"/>
      <c r="BC2" s="192"/>
      <c r="BD2" s="206" t="s">
        <v>56</v>
      </c>
      <c r="BE2" s="192"/>
      <c r="BF2" s="192"/>
      <c r="BG2" s="198">
        <f>volumenes!J27</f>
        <v>431887</v>
      </c>
      <c r="BH2" s="192"/>
      <c r="BI2" s="192"/>
      <c r="BJ2" s="192"/>
      <c r="BK2" s="192"/>
      <c r="BL2" s="207"/>
      <c r="BM2" s="58"/>
    </row>
    <row r="3" spans="1:65" x14ac:dyDescent="0.2">
      <c r="A3" s="180"/>
      <c r="B3" s="182"/>
      <c r="C3" s="227"/>
      <c r="D3" s="228"/>
      <c r="E3" s="228"/>
      <c r="F3" s="228"/>
      <c r="G3" s="229"/>
      <c r="H3" s="194"/>
      <c r="I3" s="195"/>
      <c r="J3" s="196"/>
      <c r="K3" s="195"/>
      <c r="L3" s="195"/>
      <c r="M3" s="195"/>
      <c r="N3" s="195"/>
      <c r="O3" s="195"/>
      <c r="P3" s="194"/>
      <c r="Q3" s="195"/>
      <c r="R3" s="195"/>
      <c r="S3" s="208"/>
      <c r="T3" s="195"/>
      <c r="U3" s="195">
        <v>1</v>
      </c>
      <c r="V3" s="195" t="s">
        <v>318</v>
      </c>
      <c r="W3" s="195"/>
      <c r="X3" s="209"/>
      <c r="Y3" s="209"/>
      <c r="Z3" s="195"/>
      <c r="AA3" s="195"/>
      <c r="AB3" s="195"/>
      <c r="AC3" s="208"/>
      <c r="AD3" s="195"/>
      <c r="AE3" s="195">
        <v>1</v>
      </c>
      <c r="AF3" s="195" t="s">
        <v>318</v>
      </c>
      <c r="AG3" s="195"/>
      <c r="AH3" s="209"/>
      <c r="AI3" s="209"/>
      <c r="AJ3" s="195"/>
      <c r="AK3" s="195"/>
      <c r="AL3" s="195"/>
      <c r="AM3" s="208"/>
      <c r="AN3" s="195"/>
      <c r="AO3" s="195">
        <v>1</v>
      </c>
      <c r="AP3" s="195" t="s">
        <v>318</v>
      </c>
      <c r="AQ3" s="195"/>
      <c r="AR3" s="209"/>
      <c r="AS3" s="209"/>
      <c r="AT3" s="194"/>
      <c r="AU3" s="195"/>
      <c r="AV3" s="195"/>
      <c r="AW3" s="208"/>
      <c r="AX3" s="195"/>
      <c r="AY3" s="195">
        <v>1</v>
      </c>
      <c r="AZ3" s="195" t="s">
        <v>318</v>
      </c>
      <c r="BA3" s="195"/>
      <c r="BB3" s="195"/>
      <c r="BC3" s="195"/>
      <c r="BD3" s="194"/>
      <c r="BE3" s="195"/>
      <c r="BF3" s="195"/>
      <c r="BG3" s="208"/>
      <c r="BH3" s="195"/>
      <c r="BI3" s="195">
        <v>1</v>
      </c>
      <c r="BJ3" s="195" t="s">
        <v>318</v>
      </c>
      <c r="BK3" s="195"/>
      <c r="BL3" s="209"/>
      <c r="BM3" s="59"/>
    </row>
    <row r="4" spans="1:65" x14ac:dyDescent="0.2">
      <c r="A4" s="183" t="s">
        <v>57</v>
      </c>
      <c r="B4" s="182"/>
      <c r="C4" s="230" t="s">
        <v>58</v>
      </c>
      <c r="D4" s="231"/>
      <c r="E4" s="231"/>
      <c r="F4" s="232"/>
      <c r="G4" s="233"/>
      <c r="H4" s="197"/>
      <c r="I4" s="192"/>
      <c r="J4" s="198"/>
      <c r="K4" s="199" t="s">
        <v>59</v>
      </c>
      <c r="L4" s="200">
        <f>(7.5*J1)*J2*6*51</f>
        <v>20655</v>
      </c>
      <c r="M4" s="201" t="s">
        <v>317</v>
      </c>
      <c r="N4" s="192"/>
      <c r="O4" s="192"/>
      <c r="P4" s="191"/>
      <c r="Q4" s="192"/>
      <c r="R4" s="192"/>
      <c r="S4" s="198">
        <f>7.5*U4*U3*7*52</f>
        <v>5460</v>
      </c>
      <c r="T4" s="199" t="s">
        <v>59</v>
      </c>
      <c r="U4" s="200">
        <v>2</v>
      </c>
      <c r="V4" s="201" t="s">
        <v>60</v>
      </c>
      <c r="W4" s="192"/>
      <c r="X4" s="207"/>
      <c r="Y4" s="207"/>
      <c r="Z4" s="192"/>
      <c r="AA4" s="192"/>
      <c r="AB4" s="192"/>
      <c r="AC4" s="198">
        <f>7.5*AE4*AE3*7*52</f>
        <v>5460</v>
      </c>
      <c r="AD4" s="199" t="s">
        <v>59</v>
      </c>
      <c r="AE4" s="200">
        <v>2</v>
      </c>
      <c r="AF4" s="201" t="s">
        <v>60</v>
      </c>
      <c r="AG4" s="192"/>
      <c r="AH4" s="207"/>
      <c r="AI4" s="207"/>
      <c r="AJ4" s="192"/>
      <c r="AK4" s="192"/>
      <c r="AL4" s="192"/>
      <c r="AM4" s="198">
        <f>7.5*AO4*AO3*7*52</f>
        <v>8190</v>
      </c>
      <c r="AN4" s="199" t="s">
        <v>59</v>
      </c>
      <c r="AO4" s="200">
        <v>3</v>
      </c>
      <c r="AP4" s="201" t="s">
        <v>60</v>
      </c>
      <c r="AQ4" s="192"/>
      <c r="AR4" s="207"/>
      <c r="AS4" s="207"/>
      <c r="AT4" s="191"/>
      <c r="AU4" s="192"/>
      <c r="AV4" s="192"/>
      <c r="AW4" s="198">
        <f>7.5*AY4*AY3*7*52</f>
        <v>8190</v>
      </c>
      <c r="AX4" s="199" t="s">
        <v>59</v>
      </c>
      <c r="AY4" s="200">
        <v>3</v>
      </c>
      <c r="AZ4" s="201" t="s">
        <v>60</v>
      </c>
      <c r="BA4" s="192"/>
      <c r="BB4" s="192"/>
      <c r="BC4" s="192"/>
      <c r="BD4" s="191"/>
      <c r="BE4" s="192"/>
      <c r="BF4" s="192"/>
      <c r="BG4" s="198">
        <f>7.5*BI4*BI3*7*52</f>
        <v>8190</v>
      </c>
      <c r="BH4" s="199" t="s">
        <v>59</v>
      </c>
      <c r="BI4" s="200">
        <v>3</v>
      </c>
      <c r="BJ4" s="201" t="s">
        <v>60</v>
      </c>
      <c r="BK4" s="192"/>
      <c r="BL4" s="207"/>
      <c r="BM4" s="58"/>
    </row>
    <row r="5" spans="1:65" x14ac:dyDescent="0.2">
      <c r="A5" s="180"/>
      <c r="B5" s="184" t="s">
        <v>299</v>
      </c>
      <c r="C5" s="234" t="s">
        <v>293</v>
      </c>
      <c r="D5" s="235"/>
      <c r="E5" s="235"/>
      <c r="F5" s="235"/>
      <c r="G5" s="236"/>
      <c r="H5" s="202">
        <v>2020</v>
      </c>
      <c r="I5" s="203" t="s">
        <v>61</v>
      </c>
      <c r="J5" s="204"/>
      <c r="K5" s="204"/>
      <c r="L5" s="204"/>
      <c r="M5" s="204"/>
      <c r="N5" s="204"/>
      <c r="O5" s="210" t="s">
        <v>62</v>
      </c>
      <c r="P5" s="211" t="s">
        <v>52</v>
      </c>
      <c r="Q5" s="204"/>
      <c r="R5" s="212" t="s">
        <v>62</v>
      </c>
      <c r="S5" s="204"/>
      <c r="T5" s="213">
        <v>2022</v>
      </c>
      <c r="U5" s="204"/>
      <c r="V5" s="204"/>
      <c r="W5" s="204"/>
      <c r="X5" s="214" t="s">
        <v>52</v>
      </c>
      <c r="Y5" s="205" t="s">
        <v>62</v>
      </c>
      <c r="Z5" s="202">
        <v>2023</v>
      </c>
      <c r="AA5" s="204"/>
      <c r="AB5" s="203" t="s">
        <v>62</v>
      </c>
      <c r="AC5" s="204"/>
      <c r="AD5" s="204"/>
      <c r="AE5" s="204"/>
      <c r="AF5" s="204"/>
      <c r="AG5" s="204"/>
      <c r="AH5" s="204"/>
      <c r="AI5" s="205" t="s">
        <v>62</v>
      </c>
      <c r="AJ5" s="202">
        <v>2024</v>
      </c>
      <c r="AK5" s="204"/>
      <c r="AL5" s="203" t="s">
        <v>62</v>
      </c>
      <c r="AM5" s="204"/>
      <c r="AN5" s="204"/>
      <c r="AO5" s="204"/>
      <c r="AP5" s="204"/>
      <c r="AQ5" s="204"/>
      <c r="AR5" s="215"/>
      <c r="AS5" s="216" t="s">
        <v>62</v>
      </c>
      <c r="AT5" s="217"/>
      <c r="AU5" s="204" t="s">
        <v>52</v>
      </c>
      <c r="AV5" s="204" t="s">
        <v>62</v>
      </c>
      <c r="AW5" s="218"/>
      <c r="AX5" s="213">
        <v>2025</v>
      </c>
      <c r="AY5" s="204"/>
      <c r="AZ5" s="204" t="s">
        <v>63</v>
      </c>
      <c r="BA5" s="204"/>
      <c r="BB5" s="204"/>
      <c r="BC5" s="188" t="s">
        <v>62</v>
      </c>
      <c r="BD5" s="202"/>
      <c r="BE5" s="204"/>
      <c r="BF5" s="203" t="s">
        <v>62</v>
      </c>
      <c r="BG5" s="218"/>
      <c r="BH5" s="204">
        <v>2026</v>
      </c>
      <c r="BI5" s="204"/>
      <c r="BJ5" s="204"/>
      <c r="BK5" s="204"/>
      <c r="BL5" s="214"/>
      <c r="BM5" s="60" t="s">
        <v>62</v>
      </c>
    </row>
    <row r="6" spans="1:65" x14ac:dyDescent="0.2">
      <c r="A6" s="185"/>
      <c r="B6" s="186"/>
      <c r="C6" s="237"/>
      <c r="D6" s="225"/>
      <c r="E6" s="225"/>
      <c r="F6" s="225"/>
      <c r="G6" s="238"/>
      <c r="H6" s="62" t="s">
        <v>64</v>
      </c>
      <c r="I6" s="63"/>
      <c r="J6" s="175" t="s">
        <v>65</v>
      </c>
      <c r="K6" s="65" t="s">
        <v>64</v>
      </c>
      <c r="L6" s="64" t="s">
        <v>66</v>
      </c>
      <c r="M6" s="65" t="s">
        <v>67</v>
      </c>
      <c r="N6" s="64" t="s">
        <v>68</v>
      </c>
      <c r="O6" s="64" t="s">
        <v>68</v>
      </c>
      <c r="P6" s="66" t="s">
        <v>69</v>
      </c>
      <c r="Q6" s="64" t="s">
        <v>69</v>
      </c>
      <c r="R6" s="67"/>
      <c r="S6" s="175" t="s">
        <v>65</v>
      </c>
      <c r="T6" s="64" t="s">
        <v>70</v>
      </c>
      <c r="U6" s="65" t="s">
        <v>64</v>
      </c>
      <c r="V6" s="64" t="s">
        <v>71</v>
      </c>
      <c r="W6" s="65" t="s">
        <v>67</v>
      </c>
      <c r="X6" s="66" t="s">
        <v>68</v>
      </c>
      <c r="Y6" s="64" t="s">
        <v>68</v>
      </c>
      <c r="Z6" s="64" t="s">
        <v>69</v>
      </c>
      <c r="AA6" s="64" t="s">
        <v>69</v>
      </c>
      <c r="AB6" s="67"/>
      <c r="AC6" s="175" t="s">
        <v>65</v>
      </c>
      <c r="AD6" s="64" t="s">
        <v>70</v>
      </c>
      <c r="AE6" s="65" t="s">
        <v>64</v>
      </c>
      <c r="AF6" s="64" t="s">
        <v>66</v>
      </c>
      <c r="AG6" s="65" t="s">
        <v>67</v>
      </c>
      <c r="AH6" s="66" t="s">
        <v>68</v>
      </c>
      <c r="AI6" s="64" t="s">
        <v>68</v>
      </c>
      <c r="AJ6" s="64" t="s">
        <v>69</v>
      </c>
      <c r="AK6" s="64" t="s">
        <v>69</v>
      </c>
      <c r="AL6" s="67"/>
      <c r="AM6" s="175" t="s">
        <v>65</v>
      </c>
      <c r="AN6" s="64" t="s">
        <v>70</v>
      </c>
      <c r="AO6" s="65" t="s">
        <v>64</v>
      </c>
      <c r="AP6" s="64" t="s">
        <v>66</v>
      </c>
      <c r="AQ6" s="65" t="s">
        <v>67</v>
      </c>
      <c r="AR6" s="66" t="s">
        <v>68</v>
      </c>
      <c r="AS6" s="64" t="s">
        <v>68</v>
      </c>
      <c r="AT6" s="64" t="s">
        <v>69</v>
      </c>
      <c r="AU6" s="64" t="s">
        <v>69</v>
      </c>
      <c r="AV6" s="67"/>
      <c r="AW6" s="175" t="s">
        <v>65</v>
      </c>
      <c r="AX6" s="64" t="s">
        <v>70</v>
      </c>
      <c r="AY6" s="65" t="s">
        <v>64</v>
      </c>
      <c r="AZ6" s="64" t="s">
        <v>66</v>
      </c>
      <c r="BA6" s="65" t="s">
        <v>67</v>
      </c>
      <c r="BB6" s="66" t="s">
        <v>68</v>
      </c>
      <c r="BC6" s="64" t="s">
        <v>68</v>
      </c>
      <c r="BD6" s="64" t="s">
        <v>69</v>
      </c>
      <c r="BE6" s="64" t="s">
        <v>69</v>
      </c>
      <c r="BF6" s="67"/>
      <c r="BG6" s="175" t="s">
        <v>65</v>
      </c>
      <c r="BH6" s="64" t="s">
        <v>70</v>
      </c>
      <c r="BI6" s="65" t="s">
        <v>64</v>
      </c>
      <c r="BJ6" s="64" t="s">
        <v>66</v>
      </c>
      <c r="BK6" s="65" t="s">
        <v>67</v>
      </c>
      <c r="BL6" s="66" t="s">
        <v>68</v>
      </c>
      <c r="BM6" s="64" t="s">
        <v>68</v>
      </c>
    </row>
    <row r="7" spans="1:65" x14ac:dyDescent="0.2">
      <c r="A7" s="65" t="s">
        <v>72</v>
      </c>
      <c r="B7" s="65" t="s">
        <v>11</v>
      </c>
      <c r="C7" s="239" t="s">
        <v>73</v>
      </c>
      <c r="D7" s="240"/>
      <c r="E7" s="241" t="s">
        <v>66</v>
      </c>
      <c r="F7" s="239" t="s">
        <v>74</v>
      </c>
      <c r="G7" s="242"/>
      <c r="H7" s="68" t="s">
        <v>69</v>
      </c>
      <c r="I7" s="61"/>
      <c r="J7" s="176" t="s">
        <v>75</v>
      </c>
      <c r="K7" s="69" t="s">
        <v>76</v>
      </c>
      <c r="L7" s="68" t="s">
        <v>77</v>
      </c>
      <c r="M7" s="68" t="s">
        <v>78</v>
      </c>
      <c r="N7" s="68" t="s">
        <v>79</v>
      </c>
      <c r="O7" s="68" t="s">
        <v>79</v>
      </c>
      <c r="P7" s="70" t="s">
        <v>77</v>
      </c>
      <c r="Q7" s="68" t="s">
        <v>80</v>
      </c>
      <c r="R7" s="68" t="s">
        <v>81</v>
      </c>
      <c r="S7" s="176" t="s">
        <v>75</v>
      </c>
      <c r="T7" s="69" t="s">
        <v>76</v>
      </c>
      <c r="U7" s="69" t="s">
        <v>76</v>
      </c>
      <c r="V7" s="68" t="s">
        <v>77</v>
      </c>
      <c r="W7" s="68" t="s">
        <v>78</v>
      </c>
      <c r="X7" s="70" t="s">
        <v>79</v>
      </c>
      <c r="Y7" s="68" t="s">
        <v>79</v>
      </c>
      <c r="Z7" s="68" t="s">
        <v>77</v>
      </c>
      <c r="AA7" s="68" t="s">
        <v>80</v>
      </c>
      <c r="AB7" s="68" t="s">
        <v>81</v>
      </c>
      <c r="AC7" s="176" t="s">
        <v>75</v>
      </c>
      <c r="AD7" s="69" t="s">
        <v>76</v>
      </c>
      <c r="AE7" s="69" t="s">
        <v>76</v>
      </c>
      <c r="AF7" s="68" t="s">
        <v>77</v>
      </c>
      <c r="AG7" s="68" t="s">
        <v>78</v>
      </c>
      <c r="AH7" s="70" t="s">
        <v>79</v>
      </c>
      <c r="AI7" s="68" t="s">
        <v>79</v>
      </c>
      <c r="AJ7" s="68" t="s">
        <v>77</v>
      </c>
      <c r="AK7" s="68" t="s">
        <v>80</v>
      </c>
      <c r="AL7" s="68" t="s">
        <v>81</v>
      </c>
      <c r="AM7" s="176" t="s">
        <v>75</v>
      </c>
      <c r="AN7" s="69" t="s">
        <v>76</v>
      </c>
      <c r="AO7" s="69" t="s">
        <v>76</v>
      </c>
      <c r="AP7" s="68" t="s">
        <v>77</v>
      </c>
      <c r="AQ7" s="68" t="s">
        <v>78</v>
      </c>
      <c r="AR7" s="70" t="s">
        <v>79</v>
      </c>
      <c r="AS7" s="68" t="s">
        <v>79</v>
      </c>
      <c r="AT7" s="68" t="s">
        <v>77</v>
      </c>
      <c r="AU7" s="68" t="s">
        <v>80</v>
      </c>
      <c r="AV7" s="68" t="s">
        <v>81</v>
      </c>
      <c r="AW7" s="176" t="s">
        <v>75</v>
      </c>
      <c r="AX7" s="69" t="s">
        <v>76</v>
      </c>
      <c r="AY7" s="69" t="s">
        <v>76</v>
      </c>
      <c r="AZ7" s="68" t="s">
        <v>77</v>
      </c>
      <c r="BA7" s="68" t="s">
        <v>78</v>
      </c>
      <c r="BB7" s="70" t="s">
        <v>79</v>
      </c>
      <c r="BC7" s="68" t="s">
        <v>79</v>
      </c>
      <c r="BD7" s="68" t="s">
        <v>77</v>
      </c>
      <c r="BE7" s="68" t="s">
        <v>80</v>
      </c>
      <c r="BF7" s="68" t="s">
        <v>81</v>
      </c>
      <c r="BG7" s="176" t="s">
        <v>75</v>
      </c>
      <c r="BH7" s="69" t="s">
        <v>76</v>
      </c>
      <c r="BI7" s="69" t="s">
        <v>76</v>
      </c>
      <c r="BJ7" s="68" t="s">
        <v>77</v>
      </c>
      <c r="BK7" s="68" t="s">
        <v>78</v>
      </c>
      <c r="BL7" s="70" t="s">
        <v>79</v>
      </c>
      <c r="BM7" s="68" t="s">
        <v>79</v>
      </c>
    </row>
    <row r="8" spans="1:65" x14ac:dyDescent="0.2">
      <c r="A8" s="69" t="s">
        <v>82</v>
      </c>
      <c r="B8" s="68" t="s">
        <v>83</v>
      </c>
      <c r="C8" s="243" t="s">
        <v>84</v>
      </c>
      <c r="D8" s="244" t="s">
        <v>85</v>
      </c>
      <c r="E8" s="245" t="s">
        <v>86</v>
      </c>
      <c r="F8" s="245" t="s">
        <v>87</v>
      </c>
      <c r="G8" s="246" t="s">
        <v>15</v>
      </c>
      <c r="H8" s="68" t="s">
        <v>88</v>
      </c>
      <c r="I8" s="61"/>
      <c r="J8" s="177">
        <f>IF(J4&lt;=0,0,(J2/J4))</f>
        <v>0</v>
      </c>
      <c r="K8" s="69" t="s">
        <v>89</v>
      </c>
      <c r="L8" s="68" t="s">
        <v>90</v>
      </c>
      <c r="M8" s="68" t="s">
        <v>91</v>
      </c>
      <c r="N8" s="68" t="s">
        <v>87</v>
      </c>
      <c r="O8" s="68" t="s">
        <v>15</v>
      </c>
      <c r="P8" s="70" t="s">
        <v>92</v>
      </c>
      <c r="Q8" s="68" t="s">
        <v>88</v>
      </c>
      <c r="R8" s="61"/>
      <c r="S8" s="177">
        <f>IF(S4&lt;=0,0,(S2/S4))</f>
        <v>28.358974358974358</v>
      </c>
      <c r="T8" s="69" t="s">
        <v>93</v>
      </c>
      <c r="U8" s="69" t="s">
        <v>89</v>
      </c>
      <c r="V8" s="68" t="s">
        <v>90</v>
      </c>
      <c r="W8" s="68" t="s">
        <v>91</v>
      </c>
      <c r="X8" s="70" t="s">
        <v>87</v>
      </c>
      <c r="Y8" s="68" t="s">
        <v>15</v>
      </c>
      <c r="Z8" s="68" t="s">
        <v>92</v>
      </c>
      <c r="AA8" s="68" t="s">
        <v>88</v>
      </c>
      <c r="AB8" s="61"/>
      <c r="AC8" s="177">
        <f>IF(AC4&lt;=0,0,(AC2/AC4))</f>
        <v>67.998901098901101</v>
      </c>
      <c r="AD8" s="69" t="s">
        <v>93</v>
      </c>
      <c r="AE8" s="69" t="s">
        <v>89</v>
      </c>
      <c r="AF8" s="68" t="s">
        <v>90</v>
      </c>
      <c r="AG8" s="68" t="s">
        <v>91</v>
      </c>
      <c r="AH8" s="70" t="s">
        <v>87</v>
      </c>
      <c r="AI8" s="68" t="s">
        <v>15</v>
      </c>
      <c r="AJ8" s="68" t="s">
        <v>92</v>
      </c>
      <c r="AK8" s="68" t="s">
        <v>88</v>
      </c>
      <c r="AL8" s="61"/>
      <c r="AM8" s="177">
        <f>IF(AM4&lt;=0,0,(AM2/AM4))</f>
        <v>46.681074481074482</v>
      </c>
      <c r="AN8" s="69" t="s">
        <v>93</v>
      </c>
      <c r="AO8" s="69" t="s">
        <v>89</v>
      </c>
      <c r="AP8" s="68" t="s">
        <v>90</v>
      </c>
      <c r="AQ8" s="68" t="s">
        <v>91</v>
      </c>
      <c r="AR8" s="70" t="s">
        <v>87</v>
      </c>
      <c r="AS8" s="68" t="s">
        <v>15</v>
      </c>
      <c r="AT8" s="68" t="s">
        <v>92</v>
      </c>
      <c r="AU8" s="68" t="s">
        <v>88</v>
      </c>
      <c r="AV8" s="61"/>
      <c r="AW8" s="177">
        <f>IF(AW4&lt;=0,0,(AW2/AW4))</f>
        <v>51.32087912087912</v>
      </c>
      <c r="AX8" s="69" t="s">
        <v>93</v>
      </c>
      <c r="AY8" s="69" t="s">
        <v>89</v>
      </c>
      <c r="AZ8" s="68" t="s">
        <v>90</v>
      </c>
      <c r="BA8" s="68" t="s">
        <v>91</v>
      </c>
      <c r="BB8" s="70" t="s">
        <v>87</v>
      </c>
      <c r="BC8" s="68" t="s">
        <v>15</v>
      </c>
      <c r="BD8" s="68" t="s">
        <v>92</v>
      </c>
      <c r="BE8" s="68" t="s">
        <v>88</v>
      </c>
      <c r="BF8" s="61"/>
      <c r="BG8" s="177">
        <f>IF(BG4&lt;=0,0,(BG2/BG4))</f>
        <v>52.733455433455433</v>
      </c>
      <c r="BH8" s="69" t="s">
        <v>93</v>
      </c>
      <c r="BI8" s="69" t="s">
        <v>89</v>
      </c>
      <c r="BJ8" s="68" t="s">
        <v>90</v>
      </c>
      <c r="BK8" s="68" t="s">
        <v>91</v>
      </c>
      <c r="BL8" s="70" t="s">
        <v>87</v>
      </c>
      <c r="BM8" s="68" t="s">
        <v>15</v>
      </c>
    </row>
    <row r="9" spans="1:65" x14ac:dyDescent="0.2">
      <c r="A9" s="71">
        <v>10</v>
      </c>
      <c r="B9" s="72" t="s">
        <v>94</v>
      </c>
      <c r="C9" s="72" t="s">
        <v>95</v>
      </c>
      <c r="D9" s="73" t="s">
        <v>96</v>
      </c>
      <c r="E9" s="74">
        <v>5</v>
      </c>
      <c r="F9" s="74">
        <v>10</v>
      </c>
      <c r="G9" s="75">
        <f>(E9*F9)</f>
        <v>50</v>
      </c>
      <c r="H9" s="76">
        <v>0</v>
      </c>
      <c r="I9" s="77">
        <f>(SUM(H9:H28)/100)+1</f>
        <v>1</v>
      </c>
      <c r="J9" s="75">
        <f>(I9*J$8)*0.9636</f>
        <v>0</v>
      </c>
      <c r="K9" s="75">
        <f t="shared" ref="K9:K22" si="0">IF(G9&lt;=0,0,(J9*100)/G9)</f>
        <v>0</v>
      </c>
      <c r="L9" s="74"/>
      <c r="M9" s="78">
        <v>0</v>
      </c>
      <c r="N9" s="74"/>
      <c r="O9" s="75">
        <f t="shared" ref="O9:O22" si="1">(L9*N9)</f>
        <v>0</v>
      </c>
      <c r="P9" s="76">
        <v>0</v>
      </c>
      <c r="Q9" s="79">
        <f t="shared" ref="Q9:Q22" si="2">IF(T9=0,0,(((G9-(G9*H9/100))+(O9-(O9*P9/100))-T9)/-T9)*100)</f>
        <v>0</v>
      </c>
      <c r="R9" s="77">
        <f>(SUM(Q9:Q$28)/100)+1</f>
        <v>1</v>
      </c>
      <c r="S9" s="75">
        <f>(R9*S$8)*0.9583</f>
        <v>27.176405128205129</v>
      </c>
      <c r="T9" s="75">
        <f>(G9+O9)</f>
        <v>50</v>
      </c>
      <c r="U9" s="75">
        <f>IF(T9&lt;=0,0,(S9*100)/T9)</f>
        <v>54.352810256410258</v>
      </c>
      <c r="V9" s="74">
        <v>0</v>
      </c>
      <c r="W9" s="78">
        <v>0</v>
      </c>
      <c r="X9" s="80">
        <v>0</v>
      </c>
      <c r="Y9" s="75">
        <f t="shared" ref="Y9:Y22" si="3">(V9*X9)</f>
        <v>0</v>
      </c>
      <c r="Z9" s="76">
        <v>0</v>
      </c>
      <c r="AA9" s="81">
        <f t="shared" ref="AA9:AA22" si="4">IF(AD9=0,0,((((T9-(T9*Q9/100))+(Y9-(Y9*Z9/100)))-AD9)/-AD9)*100)</f>
        <v>0</v>
      </c>
      <c r="AB9" s="77">
        <f>(SUM(AA9:AA$28)/100)+1</f>
        <v>1</v>
      </c>
      <c r="AC9" s="75">
        <f>(AB9*AC$8)*0.9631</f>
        <v>65.489741648351654</v>
      </c>
      <c r="AD9" s="75">
        <f t="shared" ref="AD9:AD22" si="5">(T9+Y9)</f>
        <v>50</v>
      </c>
      <c r="AE9" s="75">
        <f t="shared" ref="AE9:AE22" si="6">IF(AD9&lt;=0,0,(AC9*100)/AD9)</f>
        <v>130.97948329670331</v>
      </c>
      <c r="AF9" s="74">
        <v>0</v>
      </c>
      <c r="AG9" s="74">
        <v>0</v>
      </c>
      <c r="AH9" s="80">
        <v>0</v>
      </c>
      <c r="AI9" s="75">
        <f t="shared" ref="AI9:AI22" si="7">(AF9*AH9)</f>
        <v>0</v>
      </c>
      <c r="AJ9" s="76">
        <v>0</v>
      </c>
      <c r="AK9" s="81">
        <f t="shared" ref="AK9:AK22" si="8">IF(AN9=0,0,((((AD9-(AD9*AA9/100))+(AI9-(AI9*AJ9/100)))-AN9)/-AN9)*100)</f>
        <v>0</v>
      </c>
      <c r="AL9" s="77">
        <f>(SUM(AK9:AK$28)/100)+1</f>
        <v>1</v>
      </c>
      <c r="AM9" s="75">
        <f>(AL9*AM$8)*0.9608</f>
        <v>44.851176361416364</v>
      </c>
      <c r="AN9" s="75">
        <f t="shared" ref="AN9:AN22" si="9">(AD9+AI9)</f>
        <v>50</v>
      </c>
      <c r="AO9" s="75">
        <f t="shared" ref="AO9:AO22" si="10">IF(AN9&lt;=0,0,(AM9*100)/AN9)</f>
        <v>89.702352722832728</v>
      </c>
      <c r="AP9" s="74">
        <v>1</v>
      </c>
      <c r="AQ9" s="74">
        <v>280</v>
      </c>
      <c r="AR9" s="80">
        <v>90</v>
      </c>
      <c r="AS9" s="75">
        <f t="shared" ref="AS9:AS22" si="11">(AP9*AR9)</f>
        <v>90</v>
      </c>
      <c r="AT9" s="76">
        <v>0</v>
      </c>
      <c r="AU9" s="81">
        <f t="shared" ref="AU9:AU22" si="12">IF(AX9=0,0,((((AN9-(AN9*AK9/100))+(AS9-(AS9*AT9/100)))-AX9)/-AX9)*100)</f>
        <v>0</v>
      </c>
      <c r="AV9" s="77">
        <f>(SUM(AU9:AU$28)/100)+1</f>
        <v>1</v>
      </c>
      <c r="AW9" s="75">
        <f>(AV9*AW$8)*0.966</f>
        <v>49.575969230769225</v>
      </c>
      <c r="AX9" s="75">
        <f t="shared" ref="AX9:AX22" si="13">(AN9+AS9)</f>
        <v>140</v>
      </c>
      <c r="AY9" s="75">
        <f t="shared" ref="AY9:AY22" si="14">IF(AX9&lt;=0,0,(AW9*100)/AX9)</f>
        <v>35.411406593406589</v>
      </c>
      <c r="AZ9" s="74">
        <v>0</v>
      </c>
      <c r="BA9" s="74">
        <v>0</v>
      </c>
      <c r="BB9" s="80">
        <v>0</v>
      </c>
      <c r="BC9" s="75">
        <f t="shared" ref="BC9:BC22" si="15">(AZ9*BB9)</f>
        <v>0</v>
      </c>
      <c r="BD9" s="76">
        <v>0</v>
      </c>
      <c r="BE9" s="81">
        <f t="shared" ref="BE9:BE22" si="16">IF(BH9=0,0,((((AX9-(AX9*AU9/100))+(BC9-(BC9*BD9/100)))-BH9)/-BH9)*100)</f>
        <v>0</v>
      </c>
      <c r="BF9" s="77">
        <f>(SUM(BE9:BE$28)/100)+1</f>
        <v>1</v>
      </c>
      <c r="BG9" s="75">
        <f>(BF9*BG$8)*0.9656</f>
        <v>50.919424566544564</v>
      </c>
      <c r="BH9" s="75">
        <f t="shared" ref="BH9:BH22" si="17">(AX9+BC9)</f>
        <v>140</v>
      </c>
      <c r="BI9" s="75">
        <f t="shared" ref="BI9:BI22" si="18">IF(BH9&lt;=0,0,(BG9*100)/BH9)</f>
        <v>36.371017547531835</v>
      </c>
      <c r="BJ9" s="74">
        <v>0</v>
      </c>
      <c r="BK9" s="78">
        <v>0</v>
      </c>
      <c r="BL9" s="80">
        <v>0</v>
      </c>
      <c r="BM9" s="75">
        <f t="shared" ref="BM9:BM22" si="19">(BJ9*BL9)</f>
        <v>0</v>
      </c>
    </row>
    <row r="10" spans="1:65" x14ac:dyDescent="0.2">
      <c r="A10" s="82">
        <v>20</v>
      </c>
      <c r="B10" s="73" t="s">
        <v>97</v>
      </c>
      <c r="C10" s="73" t="s">
        <v>95</v>
      </c>
      <c r="D10" s="73" t="s">
        <v>98</v>
      </c>
      <c r="E10" s="83">
        <v>1</v>
      </c>
      <c r="F10" s="83">
        <v>130</v>
      </c>
      <c r="G10" s="84">
        <f t="shared" ref="G10:G22" si="20">(E10*F10)</f>
        <v>130</v>
      </c>
      <c r="H10" s="85">
        <v>0</v>
      </c>
      <c r="I10" s="86">
        <f>(SUM(H10:H28)/100)+1</f>
        <v>1</v>
      </c>
      <c r="J10" s="84">
        <f>(I10*J$8)*0.9636</f>
        <v>0</v>
      </c>
      <c r="K10" s="84">
        <f t="shared" si="0"/>
        <v>0</v>
      </c>
      <c r="L10" s="83"/>
      <c r="M10" s="87">
        <v>0</v>
      </c>
      <c r="N10" s="83"/>
      <c r="O10" s="84">
        <f t="shared" si="1"/>
        <v>0</v>
      </c>
      <c r="P10" s="85">
        <v>0</v>
      </c>
      <c r="Q10" s="88">
        <f t="shared" si="2"/>
        <v>0</v>
      </c>
      <c r="R10" s="86">
        <f>(SUM(Q10:Q$28)/100)+1</f>
        <v>1</v>
      </c>
      <c r="S10" s="84">
        <f>(R10*S$8)*0.9583</f>
        <v>27.176405128205129</v>
      </c>
      <c r="T10" s="84">
        <f t="shared" ref="T10:T22" si="21">(G10+O10)</f>
        <v>130</v>
      </c>
      <c r="U10" s="84">
        <f t="shared" ref="U10:U22" si="22">IF(T10&lt;=0,0,(S10*100)/T10)</f>
        <v>20.904927021696253</v>
      </c>
      <c r="V10" s="83">
        <v>0</v>
      </c>
      <c r="W10" s="87">
        <v>0</v>
      </c>
      <c r="X10" s="89">
        <v>0</v>
      </c>
      <c r="Y10" s="84">
        <f t="shared" si="3"/>
        <v>0</v>
      </c>
      <c r="Z10" s="85">
        <v>0</v>
      </c>
      <c r="AA10" s="90">
        <f t="shared" si="4"/>
        <v>0</v>
      </c>
      <c r="AB10" s="86">
        <f>(SUM(AA10:AA$28)/100)+1</f>
        <v>1</v>
      </c>
      <c r="AC10" s="84">
        <f>(AB10*AC$8)*0.9631</f>
        <v>65.489741648351654</v>
      </c>
      <c r="AD10" s="84">
        <f t="shared" si="5"/>
        <v>130</v>
      </c>
      <c r="AE10" s="84">
        <f t="shared" si="6"/>
        <v>50.376724344885886</v>
      </c>
      <c r="AF10" s="83">
        <v>0</v>
      </c>
      <c r="AG10" s="83">
        <v>0</v>
      </c>
      <c r="AH10" s="89">
        <v>0</v>
      </c>
      <c r="AI10" s="84">
        <f t="shared" si="7"/>
        <v>0</v>
      </c>
      <c r="AJ10" s="85">
        <v>0</v>
      </c>
      <c r="AK10" s="90">
        <f t="shared" si="8"/>
        <v>0</v>
      </c>
      <c r="AL10" s="86">
        <f>(SUM(AK10:AK$28)/100)+1</f>
        <v>1</v>
      </c>
      <c r="AM10" s="84">
        <f>(AL10*AM$8)*0.9608</f>
        <v>44.851176361416364</v>
      </c>
      <c r="AN10" s="84">
        <f t="shared" si="9"/>
        <v>130</v>
      </c>
      <c r="AO10" s="84">
        <f t="shared" si="10"/>
        <v>34.500904893397205</v>
      </c>
      <c r="AP10" s="83">
        <v>0</v>
      </c>
      <c r="AQ10" s="83">
        <v>0</v>
      </c>
      <c r="AR10" s="89">
        <v>0</v>
      </c>
      <c r="AS10" s="84">
        <f t="shared" si="11"/>
        <v>0</v>
      </c>
      <c r="AT10" s="85">
        <v>0</v>
      </c>
      <c r="AU10" s="90">
        <f t="shared" si="12"/>
        <v>0</v>
      </c>
      <c r="AV10" s="86">
        <f>(SUM(AU10:AU$28)/100)+1</f>
        <v>1</v>
      </c>
      <c r="AW10" s="84">
        <f>(AV10*AW$8)*0.966</f>
        <v>49.575969230769225</v>
      </c>
      <c r="AX10" s="84">
        <f t="shared" si="13"/>
        <v>130</v>
      </c>
      <c r="AY10" s="84">
        <f t="shared" si="14"/>
        <v>38.135360946745557</v>
      </c>
      <c r="AZ10" s="83">
        <v>0</v>
      </c>
      <c r="BA10" s="83">
        <v>0</v>
      </c>
      <c r="BB10" s="89">
        <v>0</v>
      </c>
      <c r="BC10" s="84">
        <f t="shared" si="15"/>
        <v>0</v>
      </c>
      <c r="BD10" s="85">
        <v>0</v>
      </c>
      <c r="BE10" s="90">
        <f t="shared" si="16"/>
        <v>0</v>
      </c>
      <c r="BF10" s="86">
        <f>(SUM(BE10:BE$28)/100)+1</f>
        <v>1</v>
      </c>
      <c r="BG10" s="84">
        <f>(BF10*BG$8)*0.9656</f>
        <v>50.919424566544564</v>
      </c>
      <c r="BH10" s="84">
        <f t="shared" si="17"/>
        <v>130</v>
      </c>
      <c r="BI10" s="84">
        <f t="shared" si="18"/>
        <v>39.168788128111203</v>
      </c>
      <c r="BJ10" s="83">
        <v>0</v>
      </c>
      <c r="BK10" s="87">
        <v>0</v>
      </c>
      <c r="BL10" s="89">
        <v>0</v>
      </c>
      <c r="BM10" s="84">
        <f t="shared" si="19"/>
        <v>0</v>
      </c>
    </row>
    <row r="11" spans="1:65" x14ac:dyDescent="0.2">
      <c r="A11" s="82">
        <v>30</v>
      </c>
      <c r="B11" s="73" t="s">
        <v>99</v>
      </c>
      <c r="C11" s="73" t="s">
        <v>95</v>
      </c>
      <c r="D11" s="73" t="s">
        <v>100</v>
      </c>
      <c r="E11" s="83">
        <v>1</v>
      </c>
      <c r="F11" s="83">
        <v>130</v>
      </c>
      <c r="G11" s="84">
        <f t="shared" si="20"/>
        <v>130</v>
      </c>
      <c r="H11" s="85">
        <v>0</v>
      </c>
      <c r="I11" s="86">
        <f>(SUM(H11:H$28)/100)+1</f>
        <v>1</v>
      </c>
      <c r="J11" s="84">
        <f>(I11*J$8)*0.9636</f>
        <v>0</v>
      </c>
      <c r="K11" s="84">
        <f t="shared" si="0"/>
        <v>0</v>
      </c>
      <c r="L11" s="83"/>
      <c r="M11" s="87">
        <v>0</v>
      </c>
      <c r="N11" s="83"/>
      <c r="O11" s="84">
        <f t="shared" si="1"/>
        <v>0</v>
      </c>
      <c r="P11" s="85">
        <v>0</v>
      </c>
      <c r="Q11" s="88">
        <f t="shared" si="2"/>
        <v>0</v>
      </c>
      <c r="R11" s="86">
        <f>(SUM(Q11:Q$28)/100)+1</f>
        <v>1</v>
      </c>
      <c r="S11" s="84">
        <f>(R11*S$8)*0.9583</f>
        <v>27.176405128205129</v>
      </c>
      <c r="T11" s="84">
        <f t="shared" si="21"/>
        <v>130</v>
      </c>
      <c r="U11" s="84">
        <f t="shared" si="22"/>
        <v>20.904927021696253</v>
      </c>
      <c r="V11" s="83">
        <v>0</v>
      </c>
      <c r="W11" s="87">
        <v>0</v>
      </c>
      <c r="X11" s="89">
        <v>0</v>
      </c>
      <c r="Y11" s="84">
        <f t="shared" si="3"/>
        <v>0</v>
      </c>
      <c r="Z11" s="85">
        <v>0</v>
      </c>
      <c r="AA11" s="90">
        <f t="shared" si="4"/>
        <v>0</v>
      </c>
      <c r="AB11" s="86">
        <f>(SUM(AA11:AA$28)/100)+1</f>
        <v>1</v>
      </c>
      <c r="AC11" s="84">
        <f>(AB11*AC$8)*0.9631</f>
        <v>65.489741648351654</v>
      </c>
      <c r="AD11" s="84">
        <f t="shared" si="5"/>
        <v>130</v>
      </c>
      <c r="AE11" s="84">
        <f t="shared" si="6"/>
        <v>50.376724344885886</v>
      </c>
      <c r="AF11" s="83">
        <v>0</v>
      </c>
      <c r="AG11" s="83">
        <v>0</v>
      </c>
      <c r="AH11" s="89">
        <v>0</v>
      </c>
      <c r="AI11" s="84">
        <f t="shared" si="7"/>
        <v>0</v>
      </c>
      <c r="AJ11" s="85">
        <v>0</v>
      </c>
      <c r="AK11" s="90">
        <f t="shared" si="8"/>
        <v>0</v>
      </c>
      <c r="AL11" s="86">
        <f>(SUM(AK11:AK$28)/100)+1</f>
        <v>1</v>
      </c>
      <c r="AM11" s="84">
        <f>(AL11*AM$8)*0.9608</f>
        <v>44.851176361416364</v>
      </c>
      <c r="AN11" s="84">
        <f t="shared" si="9"/>
        <v>130</v>
      </c>
      <c r="AO11" s="84">
        <f t="shared" si="10"/>
        <v>34.500904893397205</v>
      </c>
      <c r="AP11" s="83">
        <v>0</v>
      </c>
      <c r="AQ11" s="83">
        <v>0</v>
      </c>
      <c r="AR11" s="89">
        <v>0</v>
      </c>
      <c r="AS11" s="84">
        <f t="shared" si="11"/>
        <v>0</v>
      </c>
      <c r="AT11" s="85">
        <v>0</v>
      </c>
      <c r="AU11" s="90">
        <f t="shared" si="12"/>
        <v>0</v>
      </c>
      <c r="AV11" s="86">
        <f>(SUM(AU11:AU$28)/100)+1</f>
        <v>1</v>
      </c>
      <c r="AW11" s="84">
        <f>(AV11*AW$8)*0.966</f>
        <v>49.575969230769225</v>
      </c>
      <c r="AX11" s="84">
        <f t="shared" si="13"/>
        <v>130</v>
      </c>
      <c r="AY11" s="84">
        <f t="shared" si="14"/>
        <v>38.135360946745557</v>
      </c>
      <c r="AZ11" s="83">
        <v>0</v>
      </c>
      <c r="BA11" s="83">
        <v>0</v>
      </c>
      <c r="BB11" s="89">
        <v>0</v>
      </c>
      <c r="BC11" s="84">
        <f t="shared" si="15"/>
        <v>0</v>
      </c>
      <c r="BD11" s="85">
        <v>0</v>
      </c>
      <c r="BE11" s="90">
        <f t="shared" si="16"/>
        <v>0</v>
      </c>
      <c r="BF11" s="86">
        <f>(SUM(BE11:BE$28)/100)+1</f>
        <v>1</v>
      </c>
      <c r="BG11" s="84">
        <f>(BF11*BG$8)*0.9656</f>
        <v>50.919424566544564</v>
      </c>
      <c r="BH11" s="84">
        <f t="shared" si="17"/>
        <v>130</v>
      </c>
      <c r="BI11" s="84">
        <f t="shared" si="18"/>
        <v>39.168788128111203</v>
      </c>
      <c r="BJ11" s="83">
        <v>0</v>
      </c>
      <c r="BK11" s="87">
        <v>0</v>
      </c>
      <c r="BL11" s="89">
        <v>0</v>
      </c>
      <c r="BM11" s="84">
        <f t="shared" si="19"/>
        <v>0</v>
      </c>
    </row>
    <row r="12" spans="1:65" x14ac:dyDescent="0.2">
      <c r="A12" s="82">
        <v>40</v>
      </c>
      <c r="B12" s="73" t="s">
        <v>101</v>
      </c>
      <c r="C12" s="73" t="s">
        <v>95</v>
      </c>
      <c r="D12" s="73" t="s">
        <v>102</v>
      </c>
      <c r="E12" s="83">
        <v>1</v>
      </c>
      <c r="F12" s="83">
        <v>140</v>
      </c>
      <c r="G12" s="84">
        <f t="shared" si="20"/>
        <v>140</v>
      </c>
      <c r="H12" s="85">
        <v>0</v>
      </c>
      <c r="I12" s="86">
        <f>(SUM(H12:H$28)/100)+1</f>
        <v>1</v>
      </c>
      <c r="J12" s="84">
        <f>(I12*J$8)*0.43</f>
        <v>0</v>
      </c>
      <c r="K12" s="84">
        <f t="shared" si="0"/>
        <v>0</v>
      </c>
      <c r="L12" s="83"/>
      <c r="M12" s="87">
        <v>0</v>
      </c>
      <c r="N12" s="83"/>
      <c r="O12" s="84">
        <f t="shared" si="1"/>
        <v>0</v>
      </c>
      <c r="P12" s="85">
        <v>0</v>
      </c>
      <c r="Q12" s="88">
        <f t="shared" si="2"/>
        <v>0</v>
      </c>
      <c r="R12" s="86">
        <f>(SUM(Q12:Q$28)/100)+1</f>
        <v>1</v>
      </c>
      <c r="S12" s="84">
        <f>(R12*S$8)*0.3984</f>
        <v>11.298215384615384</v>
      </c>
      <c r="T12" s="84">
        <f t="shared" si="21"/>
        <v>140</v>
      </c>
      <c r="U12" s="84">
        <f t="shared" si="22"/>
        <v>8.0701538461538469</v>
      </c>
      <c r="V12" s="83">
        <v>0</v>
      </c>
      <c r="W12" s="87">
        <v>0</v>
      </c>
      <c r="X12" s="89">
        <v>0</v>
      </c>
      <c r="Y12" s="84">
        <f t="shared" si="3"/>
        <v>0</v>
      </c>
      <c r="Z12" s="85">
        <v>0</v>
      </c>
      <c r="AA12" s="90">
        <f t="shared" si="4"/>
        <v>0</v>
      </c>
      <c r="AB12" s="86">
        <f>(SUM(AA12:AA$28)/100)+1</f>
        <v>1</v>
      </c>
      <c r="AC12" s="84">
        <f>(AB12*AC$8)*0.3292</f>
        <v>22.385238241758241</v>
      </c>
      <c r="AD12" s="84">
        <f t="shared" si="5"/>
        <v>140</v>
      </c>
      <c r="AE12" s="84">
        <f t="shared" si="6"/>
        <v>15.989455886970173</v>
      </c>
      <c r="AF12" s="83">
        <v>0</v>
      </c>
      <c r="AG12" s="83">
        <v>0</v>
      </c>
      <c r="AH12" s="89">
        <v>0</v>
      </c>
      <c r="AI12" s="84">
        <f t="shared" si="7"/>
        <v>0</v>
      </c>
      <c r="AJ12" s="85">
        <v>0</v>
      </c>
      <c r="AK12" s="90">
        <f t="shared" si="8"/>
        <v>0</v>
      </c>
      <c r="AL12" s="86">
        <f>(SUM(AK12:AK$28)/100)+1</f>
        <v>1</v>
      </c>
      <c r="AM12" s="84">
        <f>(AL12*AM$8)*0.3164</f>
        <v>14.769891965811967</v>
      </c>
      <c r="AN12" s="84">
        <f t="shared" si="9"/>
        <v>140</v>
      </c>
      <c r="AO12" s="84">
        <f t="shared" si="10"/>
        <v>10.549922832722833</v>
      </c>
      <c r="AP12" s="83">
        <v>0</v>
      </c>
      <c r="AQ12" s="83">
        <v>0</v>
      </c>
      <c r="AR12" s="89">
        <v>0</v>
      </c>
      <c r="AS12" s="84">
        <f t="shared" si="11"/>
        <v>0</v>
      </c>
      <c r="AT12" s="85">
        <v>0</v>
      </c>
      <c r="AU12" s="90">
        <f t="shared" si="12"/>
        <v>0</v>
      </c>
      <c r="AV12" s="86">
        <f>(SUM(AU12:AU$28)/100)+1</f>
        <v>1</v>
      </c>
      <c r="AW12" s="84">
        <f>(AV12*AW$8)*0.3025</f>
        <v>15.524565934065933</v>
      </c>
      <c r="AX12" s="84">
        <f t="shared" si="13"/>
        <v>140</v>
      </c>
      <c r="AY12" s="84">
        <f t="shared" si="14"/>
        <v>11.088975667189953</v>
      </c>
      <c r="AZ12" s="83">
        <v>0</v>
      </c>
      <c r="BA12" s="83">
        <v>0</v>
      </c>
      <c r="BB12" s="89">
        <v>0</v>
      </c>
      <c r="BC12" s="84">
        <f t="shared" si="15"/>
        <v>0</v>
      </c>
      <c r="BD12" s="85">
        <v>0</v>
      </c>
      <c r="BE12" s="90">
        <f t="shared" si="16"/>
        <v>0</v>
      </c>
      <c r="BF12" s="86">
        <f>(SUM(BE12:BE$28)/100)+1</f>
        <v>1</v>
      </c>
      <c r="BG12" s="84">
        <f>(BF12*BG$8)*0.2989</f>
        <v>15.762029829059829</v>
      </c>
      <c r="BH12" s="84">
        <f t="shared" si="17"/>
        <v>140</v>
      </c>
      <c r="BI12" s="84">
        <f t="shared" si="18"/>
        <v>11.258592735042734</v>
      </c>
      <c r="BJ12" s="83">
        <v>0</v>
      </c>
      <c r="BK12" s="87">
        <v>0</v>
      </c>
      <c r="BL12" s="89">
        <v>0</v>
      </c>
      <c r="BM12" s="84">
        <f t="shared" si="19"/>
        <v>0</v>
      </c>
    </row>
    <row r="13" spans="1:65" x14ac:dyDescent="0.2">
      <c r="A13" s="82">
        <v>50</v>
      </c>
      <c r="B13" s="73" t="s">
        <v>103</v>
      </c>
      <c r="C13" s="73" t="s">
        <v>95</v>
      </c>
      <c r="D13" s="73" t="s">
        <v>104</v>
      </c>
      <c r="E13" s="83">
        <v>1</v>
      </c>
      <c r="F13" s="83">
        <v>150</v>
      </c>
      <c r="G13" s="84">
        <f t="shared" si="20"/>
        <v>150</v>
      </c>
      <c r="H13" s="85">
        <v>0</v>
      </c>
      <c r="I13" s="86">
        <f>(SUM(H13:H$28)/100)+1</f>
        <v>1</v>
      </c>
      <c r="J13" s="84">
        <f>(I13*J$8)</f>
        <v>0</v>
      </c>
      <c r="K13" s="84">
        <f t="shared" si="0"/>
        <v>0</v>
      </c>
      <c r="L13" s="83">
        <v>0</v>
      </c>
      <c r="M13" s="87">
        <v>0</v>
      </c>
      <c r="N13" s="83">
        <v>0</v>
      </c>
      <c r="O13" s="84">
        <f t="shared" si="1"/>
        <v>0</v>
      </c>
      <c r="P13" s="85">
        <v>0</v>
      </c>
      <c r="Q13" s="88">
        <f t="shared" si="2"/>
        <v>0</v>
      </c>
      <c r="R13" s="86">
        <f>(SUM(Q13:Q$28)/100)+1</f>
        <v>1</v>
      </c>
      <c r="S13" s="84">
        <f>(R13*S$8)</f>
        <v>28.358974358974358</v>
      </c>
      <c r="T13" s="84">
        <f t="shared" si="21"/>
        <v>150</v>
      </c>
      <c r="U13" s="84">
        <f t="shared" si="22"/>
        <v>18.905982905982903</v>
      </c>
      <c r="V13" s="83"/>
      <c r="W13" s="87"/>
      <c r="X13" s="89"/>
      <c r="Y13" s="84">
        <f t="shared" si="3"/>
        <v>0</v>
      </c>
      <c r="Z13" s="85">
        <v>0</v>
      </c>
      <c r="AA13" s="90">
        <f t="shared" si="4"/>
        <v>0</v>
      </c>
      <c r="AB13" s="86">
        <f>(SUM(AA13:AA$28)/100)+1</f>
        <v>1</v>
      </c>
      <c r="AC13" s="84">
        <f>(AB13*AC$8)</f>
        <v>67.998901098901101</v>
      </c>
      <c r="AD13" s="84">
        <f t="shared" si="5"/>
        <v>150</v>
      </c>
      <c r="AE13" s="84">
        <f t="shared" si="6"/>
        <v>45.332600732600731</v>
      </c>
      <c r="AF13" s="83">
        <v>1</v>
      </c>
      <c r="AG13" s="83">
        <v>196</v>
      </c>
      <c r="AH13" s="89">
        <v>150</v>
      </c>
      <c r="AI13" s="84">
        <f t="shared" si="7"/>
        <v>150</v>
      </c>
      <c r="AJ13" s="85">
        <v>0</v>
      </c>
      <c r="AK13" s="90">
        <f t="shared" si="8"/>
        <v>0</v>
      </c>
      <c r="AL13" s="86">
        <f>(SUM(AK13:AK$28)/100)+1</f>
        <v>1</v>
      </c>
      <c r="AM13" s="84">
        <f>(AL13*AM$8)</f>
        <v>46.681074481074482</v>
      </c>
      <c r="AN13" s="84">
        <f t="shared" si="9"/>
        <v>300</v>
      </c>
      <c r="AO13" s="84">
        <f t="shared" si="10"/>
        <v>15.560358160358161</v>
      </c>
      <c r="AP13" s="83">
        <v>0</v>
      </c>
      <c r="AQ13" s="83">
        <v>0</v>
      </c>
      <c r="AR13" s="89">
        <v>0</v>
      </c>
      <c r="AS13" s="84">
        <f t="shared" si="11"/>
        <v>0</v>
      </c>
      <c r="AT13" s="85">
        <v>0</v>
      </c>
      <c r="AU13" s="90">
        <f t="shared" si="12"/>
        <v>0</v>
      </c>
      <c r="AV13" s="86">
        <f>(SUM(AU13:AU$28)/100)+1</f>
        <v>1</v>
      </c>
      <c r="AW13" s="84">
        <f>(AV13*AW$8)</f>
        <v>51.32087912087912</v>
      </c>
      <c r="AX13" s="84">
        <f t="shared" si="13"/>
        <v>300</v>
      </c>
      <c r="AY13" s="84">
        <f t="shared" si="14"/>
        <v>17.106959706959707</v>
      </c>
      <c r="AZ13" s="83">
        <v>0</v>
      </c>
      <c r="BA13" s="83">
        <v>0</v>
      </c>
      <c r="BB13" s="89">
        <v>0</v>
      </c>
      <c r="BC13" s="84">
        <f t="shared" si="15"/>
        <v>0</v>
      </c>
      <c r="BD13" s="85">
        <v>0</v>
      </c>
      <c r="BE13" s="90">
        <f t="shared" si="16"/>
        <v>0</v>
      </c>
      <c r="BF13" s="86">
        <f>(SUM(BE13:BE$28)/100)+1</f>
        <v>1</v>
      </c>
      <c r="BG13" s="84">
        <f>(BF13*BG$8)</f>
        <v>52.733455433455433</v>
      </c>
      <c r="BH13" s="84">
        <f t="shared" si="17"/>
        <v>300</v>
      </c>
      <c r="BI13" s="84">
        <f t="shared" si="18"/>
        <v>17.577818477818475</v>
      </c>
      <c r="BJ13" s="83">
        <v>0</v>
      </c>
      <c r="BK13" s="87">
        <v>0</v>
      </c>
      <c r="BL13" s="89">
        <v>0</v>
      </c>
      <c r="BM13" s="84">
        <f t="shared" si="19"/>
        <v>0</v>
      </c>
    </row>
    <row r="14" spans="1:65" x14ac:dyDescent="0.2">
      <c r="A14" s="82">
        <v>60</v>
      </c>
      <c r="B14" s="73" t="s">
        <v>105</v>
      </c>
      <c r="C14" s="73" t="s">
        <v>95</v>
      </c>
      <c r="D14" s="73" t="s">
        <v>106</v>
      </c>
      <c r="E14" s="83">
        <v>1</v>
      </c>
      <c r="F14" s="83">
        <v>180</v>
      </c>
      <c r="G14" s="84">
        <f t="shared" si="20"/>
        <v>180</v>
      </c>
      <c r="H14" s="85">
        <v>0</v>
      </c>
      <c r="I14" s="86">
        <f>(SUM(H14:H$28)/100)+1</f>
        <v>1</v>
      </c>
      <c r="J14" s="84">
        <f>(I14*J$8)*0.9636</f>
        <v>0</v>
      </c>
      <c r="K14" s="84">
        <f t="shared" si="0"/>
        <v>0</v>
      </c>
      <c r="L14" s="83">
        <v>0</v>
      </c>
      <c r="M14" s="87">
        <v>0</v>
      </c>
      <c r="N14" s="83">
        <v>0</v>
      </c>
      <c r="O14" s="84">
        <f t="shared" si="1"/>
        <v>0</v>
      </c>
      <c r="P14" s="85">
        <v>0</v>
      </c>
      <c r="Q14" s="88">
        <f t="shared" si="2"/>
        <v>0</v>
      </c>
      <c r="R14" s="86">
        <f>(SUM(Q14:Q$28)/100)+1</f>
        <v>1</v>
      </c>
      <c r="S14" s="84">
        <f>(R14*S$8)*0.9583</f>
        <v>27.176405128205129</v>
      </c>
      <c r="T14" s="84">
        <f t="shared" si="21"/>
        <v>180</v>
      </c>
      <c r="U14" s="84">
        <f t="shared" si="22"/>
        <v>15.09800284900285</v>
      </c>
      <c r="V14" s="83">
        <v>0</v>
      </c>
      <c r="W14" s="87">
        <v>0</v>
      </c>
      <c r="X14" s="89">
        <v>0</v>
      </c>
      <c r="Y14" s="84">
        <f t="shared" si="3"/>
        <v>0</v>
      </c>
      <c r="Z14" s="85">
        <v>0</v>
      </c>
      <c r="AA14" s="90">
        <f t="shared" si="4"/>
        <v>0</v>
      </c>
      <c r="AB14" s="86">
        <f>(SUM(AA14:AA$28)/100)+1</f>
        <v>1</v>
      </c>
      <c r="AC14" s="84">
        <f>(AB14*AC$8)*0.9631</f>
        <v>65.489741648351654</v>
      </c>
      <c r="AD14" s="84">
        <f t="shared" si="5"/>
        <v>180</v>
      </c>
      <c r="AE14" s="84">
        <f t="shared" si="6"/>
        <v>36.383189804639805</v>
      </c>
      <c r="AF14" s="83">
        <v>0</v>
      </c>
      <c r="AG14" s="83">
        <v>0</v>
      </c>
      <c r="AH14" s="89">
        <v>0</v>
      </c>
      <c r="AI14" s="84">
        <f t="shared" si="7"/>
        <v>0</v>
      </c>
      <c r="AJ14" s="85">
        <v>0</v>
      </c>
      <c r="AK14" s="90">
        <f t="shared" si="8"/>
        <v>0</v>
      </c>
      <c r="AL14" s="86">
        <f>(SUM(AK14:AK$28)/100)+1</f>
        <v>1</v>
      </c>
      <c r="AM14" s="84">
        <f>(AL14*AM$8)*0.9608</f>
        <v>44.851176361416364</v>
      </c>
      <c r="AN14" s="84">
        <f t="shared" si="9"/>
        <v>180</v>
      </c>
      <c r="AO14" s="84">
        <f t="shared" si="10"/>
        <v>24.917320200786868</v>
      </c>
      <c r="AP14" s="83">
        <v>0</v>
      </c>
      <c r="AQ14" s="83">
        <v>0</v>
      </c>
      <c r="AR14" s="89">
        <v>0</v>
      </c>
      <c r="AS14" s="84">
        <f t="shared" si="11"/>
        <v>0</v>
      </c>
      <c r="AT14" s="85">
        <v>0</v>
      </c>
      <c r="AU14" s="90">
        <f t="shared" si="12"/>
        <v>0</v>
      </c>
      <c r="AV14" s="86">
        <f>(SUM(AU14:AU$28)/100)+1</f>
        <v>1</v>
      </c>
      <c r="AW14" s="84">
        <f>(AV14*AW$8)*0.966</f>
        <v>49.575969230769225</v>
      </c>
      <c r="AX14" s="84">
        <f t="shared" si="13"/>
        <v>180</v>
      </c>
      <c r="AY14" s="84">
        <f t="shared" si="14"/>
        <v>27.542205128205126</v>
      </c>
      <c r="AZ14" s="83"/>
      <c r="BA14" s="83"/>
      <c r="BB14" s="89"/>
      <c r="BC14" s="84">
        <f t="shared" si="15"/>
        <v>0</v>
      </c>
      <c r="BD14" s="85">
        <v>0</v>
      </c>
      <c r="BE14" s="90">
        <f t="shared" si="16"/>
        <v>0</v>
      </c>
      <c r="BF14" s="86">
        <f>(SUM(BE14:BE$28)/100)+1</f>
        <v>1</v>
      </c>
      <c r="BG14" s="84">
        <f>(BF14*BG$8)*0.9656</f>
        <v>50.919424566544564</v>
      </c>
      <c r="BH14" s="84">
        <f t="shared" si="17"/>
        <v>180</v>
      </c>
      <c r="BI14" s="84">
        <f t="shared" si="18"/>
        <v>28.28856920363587</v>
      </c>
      <c r="BJ14" s="83">
        <v>0</v>
      </c>
      <c r="BK14" s="87">
        <v>0</v>
      </c>
      <c r="BL14" s="89">
        <v>0</v>
      </c>
      <c r="BM14" s="84">
        <f t="shared" si="19"/>
        <v>0</v>
      </c>
    </row>
    <row r="15" spans="1:65" x14ac:dyDescent="0.2">
      <c r="A15" s="82">
        <v>70</v>
      </c>
      <c r="B15" s="73" t="s">
        <v>107</v>
      </c>
      <c r="C15" s="73" t="s">
        <v>95</v>
      </c>
      <c r="D15" s="73" t="s">
        <v>108</v>
      </c>
      <c r="E15" s="83">
        <v>2</v>
      </c>
      <c r="F15" s="83">
        <v>64</v>
      </c>
      <c r="G15" s="84">
        <f t="shared" si="20"/>
        <v>128</v>
      </c>
      <c r="H15" s="85">
        <v>0</v>
      </c>
      <c r="I15" s="86">
        <f>(SUM(H15:H$28)/100)+1</f>
        <v>1</v>
      </c>
      <c r="J15" s="84">
        <f>(I15*J$8)</f>
        <v>0</v>
      </c>
      <c r="K15" s="84">
        <f t="shared" si="0"/>
        <v>0</v>
      </c>
      <c r="L15" s="83"/>
      <c r="M15" s="87"/>
      <c r="N15" s="83"/>
      <c r="O15" s="84">
        <f t="shared" si="1"/>
        <v>0</v>
      </c>
      <c r="P15" s="85">
        <v>0</v>
      </c>
      <c r="Q15" s="88">
        <f>IF(T15=0,0,(((G15-(G15*H15/100))+(O15-(O15*P15/100))-T15)/-T15)*100)*S274</f>
        <v>0</v>
      </c>
      <c r="R15" s="86">
        <f>(SUM(Q15:Q$28)/100)+1</f>
        <v>1</v>
      </c>
      <c r="S15" s="84">
        <f>(R15*S$8)</f>
        <v>28.358974358974358</v>
      </c>
      <c r="T15" s="84">
        <f>(N15+G15)</f>
        <v>128</v>
      </c>
      <c r="U15" s="84">
        <f t="shared" si="22"/>
        <v>22.155448717948715</v>
      </c>
      <c r="V15" s="83"/>
      <c r="W15" s="87"/>
      <c r="X15" s="89"/>
      <c r="Y15" s="84">
        <f t="shared" si="3"/>
        <v>0</v>
      </c>
      <c r="Z15" s="85">
        <v>0</v>
      </c>
      <c r="AA15" s="90">
        <f t="shared" si="4"/>
        <v>0</v>
      </c>
      <c r="AB15" s="86">
        <f>(SUM(AA15:AA$28)/100)+1</f>
        <v>1</v>
      </c>
      <c r="AC15" s="84">
        <f>(AB15*AC$8)</f>
        <v>67.998901098901101</v>
      </c>
      <c r="AD15" s="84">
        <f t="shared" si="5"/>
        <v>128</v>
      </c>
      <c r="AE15" s="84">
        <f t="shared" si="6"/>
        <v>53.124141483516482</v>
      </c>
      <c r="AF15" s="83">
        <v>0</v>
      </c>
      <c r="AG15" s="83">
        <v>0</v>
      </c>
      <c r="AH15" s="89">
        <v>0</v>
      </c>
      <c r="AI15" s="84">
        <f t="shared" si="7"/>
        <v>0</v>
      </c>
      <c r="AJ15" s="85">
        <v>0</v>
      </c>
      <c r="AK15" s="90">
        <f t="shared" si="8"/>
        <v>0</v>
      </c>
      <c r="AL15" s="86">
        <f>(SUM(AK15:AK$28)/100)+1</f>
        <v>1</v>
      </c>
      <c r="AM15" s="84">
        <f>(AL15*AM$8)</f>
        <v>46.681074481074482</v>
      </c>
      <c r="AN15" s="84">
        <f t="shared" si="9"/>
        <v>128</v>
      </c>
      <c r="AO15" s="84">
        <f t="shared" si="10"/>
        <v>36.46958943833944</v>
      </c>
      <c r="AP15" s="83">
        <v>0</v>
      </c>
      <c r="AQ15" s="83">
        <v>0</v>
      </c>
      <c r="AR15" s="89">
        <v>0</v>
      </c>
      <c r="AS15" s="84">
        <f t="shared" si="11"/>
        <v>0</v>
      </c>
      <c r="AT15" s="85">
        <v>0</v>
      </c>
      <c r="AU15" s="90">
        <f t="shared" si="12"/>
        <v>0</v>
      </c>
      <c r="AV15" s="86">
        <f>(SUM(AU15:AU$28)/100)+1</f>
        <v>1</v>
      </c>
      <c r="AW15" s="84">
        <f>(AV15*AW$8)</f>
        <v>51.32087912087912</v>
      </c>
      <c r="AX15" s="84">
        <f>(AN15+AR15)</f>
        <v>128</v>
      </c>
      <c r="AY15" s="84">
        <f t="shared" si="14"/>
        <v>40.09443681318681</v>
      </c>
      <c r="AZ15" s="83"/>
      <c r="BA15" s="83"/>
      <c r="BB15" s="89"/>
      <c r="BC15" s="84">
        <f t="shared" si="15"/>
        <v>0</v>
      </c>
      <c r="BD15" s="85">
        <v>0</v>
      </c>
      <c r="BE15" s="90">
        <f t="shared" si="16"/>
        <v>0</v>
      </c>
      <c r="BF15" s="86">
        <f>(SUM(BE15:BE$28)/100)+1</f>
        <v>1</v>
      </c>
      <c r="BG15" s="84">
        <f>(BF15*BG$8)</f>
        <v>52.733455433455433</v>
      </c>
      <c r="BH15" s="84">
        <f t="shared" si="17"/>
        <v>128</v>
      </c>
      <c r="BI15" s="84">
        <f t="shared" si="18"/>
        <v>41.198012057387054</v>
      </c>
      <c r="BJ15" s="83">
        <v>0</v>
      </c>
      <c r="BK15" s="87">
        <v>0</v>
      </c>
      <c r="BL15" s="89">
        <v>0</v>
      </c>
      <c r="BM15" s="84">
        <f t="shared" si="19"/>
        <v>0</v>
      </c>
    </row>
    <row r="16" spans="1:65" x14ac:dyDescent="0.2">
      <c r="A16" s="82">
        <v>80</v>
      </c>
      <c r="B16" s="73" t="s">
        <v>109</v>
      </c>
      <c r="C16" s="73" t="s">
        <v>95</v>
      </c>
      <c r="D16" s="73" t="s">
        <v>110</v>
      </c>
      <c r="E16" s="83">
        <v>1</v>
      </c>
      <c r="F16" s="83">
        <v>46</v>
      </c>
      <c r="G16" s="84">
        <f t="shared" si="20"/>
        <v>46</v>
      </c>
      <c r="H16" s="85">
        <v>0</v>
      </c>
      <c r="I16" s="86">
        <f>(SUM(H16:H$28)/100)+1</f>
        <v>1</v>
      </c>
      <c r="J16" s="84">
        <f>(I16*J$8)*0.51</f>
        <v>0</v>
      </c>
      <c r="K16" s="84">
        <f t="shared" si="0"/>
        <v>0</v>
      </c>
      <c r="L16" s="83"/>
      <c r="M16" s="87"/>
      <c r="N16" s="83"/>
      <c r="O16" s="84">
        <f t="shared" si="1"/>
        <v>0</v>
      </c>
      <c r="P16" s="85">
        <v>0</v>
      </c>
      <c r="Q16" s="88">
        <f t="shared" si="2"/>
        <v>0</v>
      </c>
      <c r="R16" s="86">
        <f>(SUM(Q16:Q$28)/100)+1</f>
        <v>1</v>
      </c>
      <c r="S16" s="84">
        <f>(R16*S$8)*0.5552</f>
        <v>15.744902564102564</v>
      </c>
      <c r="T16" s="84">
        <f t="shared" si="21"/>
        <v>46</v>
      </c>
      <c r="U16" s="84">
        <f t="shared" si="22"/>
        <v>34.228049052396877</v>
      </c>
      <c r="V16" s="83"/>
      <c r="W16" s="87"/>
      <c r="X16" s="89"/>
      <c r="Y16" s="84">
        <f t="shared" si="3"/>
        <v>0</v>
      </c>
      <c r="Z16" s="85">
        <v>0</v>
      </c>
      <c r="AA16" s="90">
        <f t="shared" si="4"/>
        <v>0</v>
      </c>
      <c r="AB16" s="86">
        <f>(SUM(AA16:AA$28)/100)+1</f>
        <v>1</v>
      </c>
      <c r="AC16" s="84">
        <f>(AB16*AC$8)*0.5809</f>
        <v>39.500561648351649</v>
      </c>
      <c r="AD16" s="84">
        <f t="shared" si="5"/>
        <v>46</v>
      </c>
      <c r="AE16" s="84">
        <f t="shared" si="6"/>
        <v>85.870786192068806</v>
      </c>
      <c r="AF16" s="83">
        <v>0</v>
      </c>
      <c r="AG16" s="83">
        <v>0</v>
      </c>
      <c r="AH16" s="89">
        <v>0</v>
      </c>
      <c r="AI16" s="84">
        <f t="shared" si="7"/>
        <v>0</v>
      </c>
      <c r="AJ16" s="85">
        <v>0</v>
      </c>
      <c r="AK16" s="90">
        <f t="shared" si="8"/>
        <v>0</v>
      </c>
      <c r="AL16" s="86">
        <f>(SUM(AK16:AK$28)/100)+1</f>
        <v>1</v>
      </c>
      <c r="AM16" s="84">
        <f>(AL16*AM$8)*0.5899</f>
        <v>27.537165836385835</v>
      </c>
      <c r="AN16" s="84">
        <f t="shared" si="9"/>
        <v>46</v>
      </c>
      <c r="AO16" s="84">
        <f t="shared" si="10"/>
        <v>59.86340399214312</v>
      </c>
      <c r="AP16" s="83">
        <v>0</v>
      </c>
      <c r="AQ16" s="83">
        <v>0</v>
      </c>
      <c r="AR16" s="89">
        <v>0</v>
      </c>
      <c r="AS16" s="84">
        <f t="shared" si="11"/>
        <v>0</v>
      </c>
      <c r="AT16" s="85">
        <v>0</v>
      </c>
      <c r="AU16" s="90">
        <f t="shared" si="12"/>
        <v>0</v>
      </c>
      <c r="AV16" s="86">
        <f>(SUM(AU16:AU$28)/100)+1</f>
        <v>1</v>
      </c>
      <c r="AW16" s="84">
        <f>(AV16*AW$8)*0.6051</f>
        <v>31.054263956043954</v>
      </c>
      <c r="AX16" s="84">
        <f t="shared" si="13"/>
        <v>46</v>
      </c>
      <c r="AY16" s="84">
        <f t="shared" si="14"/>
        <v>67.509269469660779</v>
      </c>
      <c r="AZ16" s="83">
        <v>0</v>
      </c>
      <c r="BA16" s="83">
        <v>0</v>
      </c>
      <c r="BB16" s="89">
        <v>0</v>
      </c>
      <c r="BC16" s="84">
        <f t="shared" si="15"/>
        <v>0</v>
      </c>
      <c r="BD16" s="85">
        <v>0</v>
      </c>
      <c r="BE16" s="90">
        <f t="shared" si="16"/>
        <v>0</v>
      </c>
      <c r="BF16" s="86">
        <f>(SUM(BE16:BE$28)/100)+1</f>
        <v>1</v>
      </c>
      <c r="BG16" s="84">
        <f>(BF16*BG$8)*0.6091</f>
        <v>32.119947704517706</v>
      </c>
      <c r="BH16" s="84">
        <f t="shared" si="17"/>
        <v>46</v>
      </c>
      <c r="BI16" s="84">
        <f t="shared" si="18"/>
        <v>69.825973270690668</v>
      </c>
      <c r="BJ16" s="83">
        <v>0</v>
      </c>
      <c r="BK16" s="87">
        <v>0</v>
      </c>
      <c r="BL16" s="89">
        <v>0</v>
      </c>
      <c r="BM16" s="84">
        <f t="shared" si="19"/>
        <v>0</v>
      </c>
    </row>
    <row r="17" spans="1:65" x14ac:dyDescent="0.2">
      <c r="A17" s="82">
        <v>90</v>
      </c>
      <c r="B17" s="73" t="s">
        <v>111</v>
      </c>
      <c r="C17" s="73" t="s">
        <v>95</v>
      </c>
      <c r="D17" s="73" t="s">
        <v>112</v>
      </c>
      <c r="E17" s="83">
        <v>1</v>
      </c>
      <c r="F17" s="83">
        <v>200</v>
      </c>
      <c r="G17" s="84">
        <f t="shared" si="20"/>
        <v>200</v>
      </c>
      <c r="H17" s="85">
        <v>0</v>
      </c>
      <c r="I17" s="86">
        <f>(SUM(H17:H$28)/100)+1</f>
        <v>1</v>
      </c>
      <c r="J17" s="84">
        <f t="shared" ref="J17:J22" si="23">(I17*J$8)</f>
        <v>0</v>
      </c>
      <c r="K17" s="84">
        <f t="shared" si="0"/>
        <v>0</v>
      </c>
      <c r="L17" s="83">
        <v>0</v>
      </c>
      <c r="M17" s="87">
        <v>0</v>
      </c>
      <c r="N17" s="83">
        <v>0</v>
      </c>
      <c r="O17" s="84">
        <f t="shared" si="1"/>
        <v>0</v>
      </c>
      <c r="P17" s="85">
        <v>0</v>
      </c>
      <c r="Q17" s="88">
        <f t="shared" si="2"/>
        <v>0</v>
      </c>
      <c r="R17" s="86">
        <f>(SUM(Q17:Q$28)/100)+1</f>
        <v>1</v>
      </c>
      <c r="S17" s="84">
        <f>(R17*S$8)</f>
        <v>28.358974358974358</v>
      </c>
      <c r="T17" s="84">
        <f t="shared" si="21"/>
        <v>200</v>
      </c>
      <c r="U17" s="84">
        <f t="shared" si="22"/>
        <v>14.179487179487177</v>
      </c>
      <c r="V17" s="83">
        <v>0</v>
      </c>
      <c r="W17" s="87">
        <v>0</v>
      </c>
      <c r="X17" s="89">
        <v>0</v>
      </c>
      <c r="Y17" s="84">
        <f t="shared" si="3"/>
        <v>0</v>
      </c>
      <c r="Z17" s="85">
        <v>0</v>
      </c>
      <c r="AA17" s="90">
        <f t="shared" si="4"/>
        <v>0</v>
      </c>
      <c r="AB17" s="86">
        <f>(SUM(AA17:AA$28)/100)+1</f>
        <v>1</v>
      </c>
      <c r="AC17" s="84">
        <f>(AB17*AC$8)</f>
        <v>67.998901098901101</v>
      </c>
      <c r="AD17" s="84">
        <f t="shared" si="5"/>
        <v>200</v>
      </c>
      <c r="AE17" s="84">
        <f t="shared" si="6"/>
        <v>33.99945054945055</v>
      </c>
      <c r="AF17" s="83">
        <v>0</v>
      </c>
      <c r="AG17" s="83">
        <v>0</v>
      </c>
      <c r="AH17" s="89">
        <v>0</v>
      </c>
      <c r="AI17" s="84">
        <f t="shared" si="7"/>
        <v>0</v>
      </c>
      <c r="AJ17" s="85">
        <v>0</v>
      </c>
      <c r="AK17" s="90">
        <f t="shared" si="8"/>
        <v>0</v>
      </c>
      <c r="AL17" s="86">
        <f>(SUM(AK17:AK$28)/100)+1</f>
        <v>1</v>
      </c>
      <c r="AM17" s="84">
        <f>(AL17*AM$8)</f>
        <v>46.681074481074482</v>
      </c>
      <c r="AN17" s="84">
        <f t="shared" si="9"/>
        <v>200</v>
      </c>
      <c r="AO17" s="84">
        <f t="shared" si="10"/>
        <v>23.340537240537241</v>
      </c>
      <c r="AP17" s="83">
        <v>0</v>
      </c>
      <c r="AQ17" s="83">
        <v>0</v>
      </c>
      <c r="AR17" s="89">
        <v>0</v>
      </c>
      <c r="AS17" s="84">
        <f t="shared" si="11"/>
        <v>0</v>
      </c>
      <c r="AT17" s="85">
        <v>0</v>
      </c>
      <c r="AU17" s="90">
        <f t="shared" si="12"/>
        <v>0</v>
      </c>
      <c r="AV17" s="86">
        <f>(SUM(AU17:AU$28)/100)+1</f>
        <v>1</v>
      </c>
      <c r="AW17" s="84">
        <f>(AV17*AW$8)</f>
        <v>51.32087912087912</v>
      </c>
      <c r="AX17" s="84">
        <f>(AN17+AR17)</f>
        <v>200</v>
      </c>
      <c r="AY17" s="84">
        <f t="shared" si="14"/>
        <v>25.66043956043956</v>
      </c>
      <c r="AZ17" s="83">
        <v>0</v>
      </c>
      <c r="BA17" s="83">
        <v>0</v>
      </c>
      <c r="BB17" s="89">
        <v>0</v>
      </c>
      <c r="BC17" s="84">
        <f t="shared" si="15"/>
        <v>0</v>
      </c>
      <c r="BD17" s="85">
        <v>0</v>
      </c>
      <c r="BE17" s="90">
        <f t="shared" si="16"/>
        <v>0</v>
      </c>
      <c r="BF17" s="86">
        <f>(SUM(BE17:BE$28)/100)+1</f>
        <v>1</v>
      </c>
      <c r="BG17" s="84">
        <f>(BF17*BG$8)</f>
        <v>52.733455433455433</v>
      </c>
      <c r="BH17" s="84">
        <f t="shared" si="17"/>
        <v>200</v>
      </c>
      <c r="BI17" s="84">
        <f t="shared" si="18"/>
        <v>26.366727716727713</v>
      </c>
      <c r="BJ17" s="83"/>
      <c r="BK17" s="87"/>
      <c r="BL17" s="89"/>
      <c r="BM17" s="84">
        <f t="shared" si="19"/>
        <v>0</v>
      </c>
    </row>
    <row r="18" spans="1:65" x14ac:dyDescent="0.2">
      <c r="A18" s="82">
        <v>100</v>
      </c>
      <c r="B18" s="73" t="s">
        <v>113</v>
      </c>
      <c r="C18" s="73" t="s">
        <v>95</v>
      </c>
      <c r="D18" s="73" t="s">
        <v>114</v>
      </c>
      <c r="E18" s="83">
        <v>1</v>
      </c>
      <c r="F18" s="83">
        <v>250</v>
      </c>
      <c r="G18" s="84">
        <f t="shared" si="20"/>
        <v>250</v>
      </c>
      <c r="H18" s="85">
        <v>0</v>
      </c>
      <c r="I18" s="86">
        <f>(SUM(H18:H$28)/100)+1</f>
        <v>1</v>
      </c>
      <c r="J18" s="84">
        <f t="shared" si="23"/>
        <v>0</v>
      </c>
      <c r="K18" s="84">
        <f t="shared" si="0"/>
        <v>0</v>
      </c>
      <c r="L18" s="83">
        <v>0</v>
      </c>
      <c r="M18" s="87">
        <v>0</v>
      </c>
      <c r="N18" s="83">
        <v>0</v>
      </c>
      <c r="O18" s="84">
        <f t="shared" si="1"/>
        <v>0</v>
      </c>
      <c r="P18" s="85">
        <v>0</v>
      </c>
      <c r="Q18" s="88">
        <f t="shared" si="2"/>
        <v>0</v>
      </c>
      <c r="R18" s="86">
        <f>(SUM(Q18:Q$28)/100)+1</f>
        <v>1</v>
      </c>
      <c r="S18" s="84">
        <f>(R18*S$8)</f>
        <v>28.358974358974358</v>
      </c>
      <c r="T18" s="84">
        <f t="shared" si="21"/>
        <v>250</v>
      </c>
      <c r="U18" s="84">
        <f t="shared" si="22"/>
        <v>11.343589743589742</v>
      </c>
      <c r="V18" s="83">
        <v>0</v>
      </c>
      <c r="W18" s="87">
        <v>0</v>
      </c>
      <c r="X18" s="89">
        <v>0</v>
      </c>
      <c r="Y18" s="84">
        <f t="shared" si="3"/>
        <v>0</v>
      </c>
      <c r="Z18" s="85">
        <v>0</v>
      </c>
      <c r="AA18" s="90">
        <f t="shared" si="4"/>
        <v>0</v>
      </c>
      <c r="AB18" s="86">
        <f>(SUM(AA18:AA$28)/100)+1</f>
        <v>1</v>
      </c>
      <c r="AC18" s="84">
        <f>(AB18*AC$8)</f>
        <v>67.998901098901101</v>
      </c>
      <c r="AD18" s="84">
        <f t="shared" si="5"/>
        <v>250</v>
      </c>
      <c r="AE18" s="84">
        <f t="shared" si="6"/>
        <v>27.19956043956044</v>
      </c>
      <c r="AF18" s="83">
        <v>0</v>
      </c>
      <c r="AG18" s="83">
        <v>0</v>
      </c>
      <c r="AH18" s="89">
        <v>0</v>
      </c>
      <c r="AI18" s="84">
        <f t="shared" si="7"/>
        <v>0</v>
      </c>
      <c r="AJ18" s="85">
        <v>0</v>
      </c>
      <c r="AK18" s="90">
        <f t="shared" si="8"/>
        <v>0</v>
      </c>
      <c r="AL18" s="86">
        <f>(SUM(AK18:AK$28)/100)+1</f>
        <v>1</v>
      </c>
      <c r="AM18" s="84">
        <f>(AL18*AM$8)</f>
        <v>46.681074481074482</v>
      </c>
      <c r="AN18" s="84">
        <f t="shared" si="9"/>
        <v>250</v>
      </c>
      <c r="AO18" s="84">
        <f t="shared" si="10"/>
        <v>18.672429792429792</v>
      </c>
      <c r="AP18" s="83">
        <v>0</v>
      </c>
      <c r="AQ18" s="83">
        <v>0</v>
      </c>
      <c r="AR18" s="89">
        <v>0</v>
      </c>
      <c r="AS18" s="84">
        <f t="shared" si="11"/>
        <v>0</v>
      </c>
      <c r="AT18" s="85">
        <v>0</v>
      </c>
      <c r="AU18" s="90">
        <f t="shared" si="12"/>
        <v>0</v>
      </c>
      <c r="AV18" s="86">
        <f>(SUM(AU18:AU$28)/100)+1</f>
        <v>1</v>
      </c>
      <c r="AW18" s="84">
        <f>(AV18*AW$8)</f>
        <v>51.32087912087912</v>
      </c>
      <c r="AX18" s="84">
        <f t="shared" si="13"/>
        <v>250</v>
      </c>
      <c r="AY18" s="84">
        <f t="shared" si="14"/>
        <v>20.528351648351649</v>
      </c>
      <c r="AZ18" s="83">
        <v>0</v>
      </c>
      <c r="BA18" s="83">
        <v>0</v>
      </c>
      <c r="BB18" s="89">
        <v>0</v>
      </c>
      <c r="BC18" s="84">
        <f t="shared" si="15"/>
        <v>0</v>
      </c>
      <c r="BD18" s="85">
        <v>0</v>
      </c>
      <c r="BE18" s="90">
        <f t="shared" si="16"/>
        <v>0</v>
      </c>
      <c r="BF18" s="86">
        <f>(SUM(BE18:BE$28)/100)+1</f>
        <v>1</v>
      </c>
      <c r="BG18" s="84">
        <f>(BF18*BG$8)</f>
        <v>52.733455433455433</v>
      </c>
      <c r="BH18" s="84">
        <f t="shared" si="17"/>
        <v>250</v>
      </c>
      <c r="BI18" s="84">
        <f t="shared" si="18"/>
        <v>21.093382173382171</v>
      </c>
      <c r="BJ18" s="83">
        <v>0</v>
      </c>
      <c r="BK18" s="87">
        <v>0</v>
      </c>
      <c r="BL18" s="89">
        <v>0</v>
      </c>
      <c r="BM18" s="84">
        <f t="shared" si="19"/>
        <v>0</v>
      </c>
    </row>
    <row r="19" spans="1:65" x14ac:dyDescent="0.2">
      <c r="A19" s="91">
        <v>0</v>
      </c>
      <c r="B19" s="73"/>
      <c r="C19" s="73"/>
      <c r="D19" s="73" t="s">
        <v>115</v>
      </c>
      <c r="E19" s="83">
        <v>0</v>
      </c>
      <c r="F19" s="83">
        <v>0</v>
      </c>
      <c r="G19" s="84">
        <f t="shared" si="20"/>
        <v>0</v>
      </c>
      <c r="H19" s="85">
        <v>0</v>
      </c>
      <c r="I19" s="86">
        <f>(SUM(H19:H$28)/100)+1</f>
        <v>1</v>
      </c>
      <c r="J19" s="84">
        <f t="shared" si="23"/>
        <v>0</v>
      </c>
      <c r="K19" s="84">
        <f t="shared" si="0"/>
        <v>0</v>
      </c>
      <c r="L19" s="83">
        <v>0</v>
      </c>
      <c r="M19" s="87">
        <v>0</v>
      </c>
      <c r="N19" s="83">
        <v>0</v>
      </c>
      <c r="O19" s="84">
        <f t="shared" si="1"/>
        <v>0</v>
      </c>
      <c r="P19" s="85">
        <v>0</v>
      </c>
      <c r="Q19" s="88">
        <f t="shared" si="2"/>
        <v>0</v>
      </c>
      <c r="R19" s="86">
        <f>(SUM(Q19:Q$28)/100)+1</f>
        <v>1</v>
      </c>
      <c r="S19" s="84">
        <f>(R19*S$8)</f>
        <v>28.358974358974358</v>
      </c>
      <c r="T19" s="84">
        <f t="shared" si="21"/>
        <v>0</v>
      </c>
      <c r="U19" s="84">
        <f t="shared" si="22"/>
        <v>0</v>
      </c>
      <c r="V19" s="83">
        <v>0</v>
      </c>
      <c r="W19" s="87">
        <v>0</v>
      </c>
      <c r="X19" s="89">
        <v>0</v>
      </c>
      <c r="Y19" s="84">
        <f t="shared" si="3"/>
        <v>0</v>
      </c>
      <c r="Z19" s="85">
        <v>0</v>
      </c>
      <c r="AA19" s="90">
        <f t="shared" si="4"/>
        <v>0</v>
      </c>
      <c r="AB19" s="86">
        <f>(SUM(AA19:AA$28)/100)+1</f>
        <v>1</v>
      </c>
      <c r="AC19" s="84">
        <f>(AB19*AC$8)*0.9631</f>
        <v>65.489741648351654</v>
      </c>
      <c r="AD19" s="84">
        <f t="shared" si="5"/>
        <v>0</v>
      </c>
      <c r="AE19" s="84">
        <f t="shared" si="6"/>
        <v>0</v>
      </c>
      <c r="AF19" s="83">
        <v>0</v>
      </c>
      <c r="AG19" s="83">
        <v>0</v>
      </c>
      <c r="AH19" s="89">
        <v>0</v>
      </c>
      <c r="AI19" s="84">
        <f t="shared" si="7"/>
        <v>0</v>
      </c>
      <c r="AJ19" s="85">
        <v>0</v>
      </c>
      <c r="AK19" s="90">
        <f t="shared" si="8"/>
        <v>0</v>
      </c>
      <c r="AL19" s="86">
        <f>(SUM(AK19:AK$28)/100)+1</f>
        <v>1</v>
      </c>
      <c r="AM19" s="84">
        <f>(AL19*AM$8)</f>
        <v>46.681074481074482</v>
      </c>
      <c r="AN19" s="84">
        <f t="shared" si="9"/>
        <v>0</v>
      </c>
      <c r="AO19" s="84">
        <f t="shared" si="10"/>
        <v>0</v>
      </c>
      <c r="AP19" s="83">
        <v>0</v>
      </c>
      <c r="AQ19" s="83">
        <v>0</v>
      </c>
      <c r="AR19" s="89">
        <v>0</v>
      </c>
      <c r="AS19" s="84">
        <f t="shared" si="11"/>
        <v>0</v>
      </c>
      <c r="AT19" s="85">
        <v>0</v>
      </c>
      <c r="AU19" s="90">
        <f t="shared" si="12"/>
        <v>0</v>
      </c>
      <c r="AV19" s="86">
        <f>(SUM(AU19:AU$28)/100)+1</f>
        <v>1</v>
      </c>
      <c r="AW19" s="84">
        <f>(AV19*AW$8)</f>
        <v>51.32087912087912</v>
      </c>
      <c r="AX19" s="84">
        <f t="shared" si="13"/>
        <v>0</v>
      </c>
      <c r="AY19" s="84">
        <f t="shared" si="14"/>
        <v>0</v>
      </c>
      <c r="AZ19" s="83">
        <v>0</v>
      </c>
      <c r="BA19" s="83">
        <v>0</v>
      </c>
      <c r="BB19" s="89">
        <v>0</v>
      </c>
      <c r="BC19" s="84">
        <f t="shared" si="15"/>
        <v>0</v>
      </c>
      <c r="BD19" s="85">
        <v>0</v>
      </c>
      <c r="BE19" s="90">
        <f t="shared" si="16"/>
        <v>0</v>
      </c>
      <c r="BF19" s="86">
        <f>(SUM(BE19:BE$28)/100)+1</f>
        <v>1</v>
      </c>
      <c r="BG19" s="84">
        <f>(BF19*BG$8)</f>
        <v>52.733455433455433</v>
      </c>
      <c r="BH19" s="84">
        <f t="shared" si="17"/>
        <v>0</v>
      </c>
      <c r="BI19" s="84">
        <f t="shared" si="18"/>
        <v>0</v>
      </c>
      <c r="BJ19" s="83">
        <v>0</v>
      </c>
      <c r="BK19" s="87">
        <v>0</v>
      </c>
      <c r="BL19" s="89">
        <v>0</v>
      </c>
      <c r="BM19" s="84">
        <f t="shared" si="19"/>
        <v>0</v>
      </c>
    </row>
    <row r="20" spans="1:65" x14ac:dyDescent="0.2">
      <c r="A20" s="91">
        <v>0</v>
      </c>
      <c r="B20" s="73"/>
      <c r="C20" s="73"/>
      <c r="D20" s="73" t="s">
        <v>115</v>
      </c>
      <c r="E20" s="83">
        <v>0</v>
      </c>
      <c r="F20" s="83">
        <v>0</v>
      </c>
      <c r="G20" s="84">
        <f t="shared" si="20"/>
        <v>0</v>
      </c>
      <c r="H20" s="85">
        <v>0</v>
      </c>
      <c r="I20" s="86">
        <f>(SUM(H20:H$28)/100)+1</f>
        <v>1</v>
      </c>
      <c r="J20" s="84">
        <f t="shared" si="23"/>
        <v>0</v>
      </c>
      <c r="K20" s="84">
        <f t="shared" si="0"/>
        <v>0</v>
      </c>
      <c r="L20" s="83">
        <v>0</v>
      </c>
      <c r="M20" s="87">
        <v>0</v>
      </c>
      <c r="N20" s="83">
        <v>0</v>
      </c>
      <c r="O20" s="84">
        <f t="shared" si="1"/>
        <v>0</v>
      </c>
      <c r="P20" s="85">
        <v>0</v>
      </c>
      <c r="Q20" s="88">
        <f t="shared" si="2"/>
        <v>0</v>
      </c>
      <c r="R20" s="86">
        <f>(SUM(Q20:Q$28)/100)+1</f>
        <v>1</v>
      </c>
      <c r="S20" s="84">
        <f>(R20*S$8)</f>
        <v>28.358974358974358</v>
      </c>
      <c r="T20" s="84">
        <f t="shared" si="21"/>
        <v>0</v>
      </c>
      <c r="U20" s="84">
        <f t="shared" si="22"/>
        <v>0</v>
      </c>
      <c r="V20" s="83">
        <v>0</v>
      </c>
      <c r="W20" s="87">
        <v>0</v>
      </c>
      <c r="X20" s="89">
        <v>0</v>
      </c>
      <c r="Y20" s="84">
        <f t="shared" si="3"/>
        <v>0</v>
      </c>
      <c r="Z20" s="85">
        <v>0</v>
      </c>
      <c r="AA20" s="90">
        <f t="shared" si="4"/>
        <v>0</v>
      </c>
      <c r="AB20" s="86">
        <f>(SUM(AA20:AA$28)/100)+1</f>
        <v>1</v>
      </c>
      <c r="AC20" s="84">
        <f>(AB20*AC$8)</f>
        <v>67.998901098901101</v>
      </c>
      <c r="AD20" s="84">
        <f t="shared" si="5"/>
        <v>0</v>
      </c>
      <c r="AE20" s="84">
        <f t="shared" si="6"/>
        <v>0</v>
      </c>
      <c r="AF20" s="83">
        <v>0</v>
      </c>
      <c r="AG20" s="83">
        <v>0</v>
      </c>
      <c r="AH20" s="89">
        <v>0</v>
      </c>
      <c r="AI20" s="84">
        <f t="shared" si="7"/>
        <v>0</v>
      </c>
      <c r="AJ20" s="85">
        <v>0</v>
      </c>
      <c r="AK20" s="90">
        <f t="shared" si="8"/>
        <v>0</v>
      </c>
      <c r="AL20" s="86">
        <f>(SUM(AK20:AK$28)/100)+1</f>
        <v>1</v>
      </c>
      <c r="AM20" s="84">
        <f>(AL20*AM$8)</f>
        <v>46.681074481074482</v>
      </c>
      <c r="AN20" s="84">
        <f t="shared" si="9"/>
        <v>0</v>
      </c>
      <c r="AO20" s="84">
        <f t="shared" si="10"/>
        <v>0</v>
      </c>
      <c r="AP20" s="83">
        <v>0</v>
      </c>
      <c r="AQ20" s="83">
        <v>0</v>
      </c>
      <c r="AR20" s="89">
        <v>0</v>
      </c>
      <c r="AS20" s="84">
        <f t="shared" si="11"/>
        <v>0</v>
      </c>
      <c r="AT20" s="85">
        <v>0</v>
      </c>
      <c r="AU20" s="90">
        <f t="shared" si="12"/>
        <v>0</v>
      </c>
      <c r="AV20" s="86">
        <f>(SUM(AU20:AU$28)/100)+1</f>
        <v>1</v>
      </c>
      <c r="AW20" s="84">
        <f>(AV20*AW$8)</f>
        <v>51.32087912087912</v>
      </c>
      <c r="AX20" s="84">
        <f>(AN20+AS20)</f>
        <v>0</v>
      </c>
      <c r="AY20" s="84">
        <f t="shared" si="14"/>
        <v>0</v>
      </c>
      <c r="AZ20" s="83">
        <v>0</v>
      </c>
      <c r="BA20" s="83">
        <v>0</v>
      </c>
      <c r="BB20" s="89">
        <v>0</v>
      </c>
      <c r="BC20" s="84">
        <f t="shared" si="15"/>
        <v>0</v>
      </c>
      <c r="BD20" s="85">
        <v>0</v>
      </c>
      <c r="BE20" s="90">
        <f t="shared" si="16"/>
        <v>0</v>
      </c>
      <c r="BF20" s="86">
        <f>(SUM(BE20:BE$28)/100)+1</f>
        <v>1</v>
      </c>
      <c r="BG20" s="84">
        <f>(BF20*BG$8)</f>
        <v>52.733455433455433</v>
      </c>
      <c r="BH20" s="84">
        <f t="shared" si="17"/>
        <v>0</v>
      </c>
      <c r="BI20" s="84">
        <f t="shared" si="18"/>
        <v>0</v>
      </c>
      <c r="BJ20" s="83">
        <v>0</v>
      </c>
      <c r="BK20" s="87">
        <v>0</v>
      </c>
      <c r="BL20" s="89">
        <v>0</v>
      </c>
      <c r="BM20" s="84">
        <f t="shared" si="19"/>
        <v>0</v>
      </c>
    </row>
    <row r="21" spans="1:65" x14ac:dyDescent="0.2">
      <c r="A21" s="91">
        <v>0</v>
      </c>
      <c r="B21" s="73"/>
      <c r="C21" s="73"/>
      <c r="D21" s="73" t="s">
        <v>115</v>
      </c>
      <c r="E21" s="83">
        <v>0</v>
      </c>
      <c r="F21" s="83">
        <v>0</v>
      </c>
      <c r="G21" s="84">
        <f t="shared" si="20"/>
        <v>0</v>
      </c>
      <c r="H21" s="85">
        <v>0</v>
      </c>
      <c r="I21" s="86">
        <f>(SUM(H21:H$28)/100)+1</f>
        <v>1</v>
      </c>
      <c r="J21" s="84">
        <f t="shared" si="23"/>
        <v>0</v>
      </c>
      <c r="K21" s="84">
        <f t="shared" si="0"/>
        <v>0</v>
      </c>
      <c r="L21" s="83">
        <v>0</v>
      </c>
      <c r="M21" s="87">
        <v>0</v>
      </c>
      <c r="N21" s="83">
        <v>0</v>
      </c>
      <c r="O21" s="84">
        <f t="shared" si="1"/>
        <v>0</v>
      </c>
      <c r="P21" s="85">
        <v>0</v>
      </c>
      <c r="Q21" s="88">
        <f t="shared" si="2"/>
        <v>0</v>
      </c>
      <c r="R21" s="86">
        <f>(SUM(Q21:Q$28)/100)+1</f>
        <v>1</v>
      </c>
      <c r="S21" s="84">
        <f>(R21*S$8)</f>
        <v>28.358974358974358</v>
      </c>
      <c r="T21" s="84">
        <f t="shared" si="21"/>
        <v>0</v>
      </c>
      <c r="U21" s="84">
        <f t="shared" si="22"/>
        <v>0</v>
      </c>
      <c r="V21" s="83">
        <v>0</v>
      </c>
      <c r="W21" s="87">
        <v>0</v>
      </c>
      <c r="X21" s="89">
        <v>0</v>
      </c>
      <c r="Y21" s="84">
        <f t="shared" si="3"/>
        <v>0</v>
      </c>
      <c r="Z21" s="85">
        <v>0</v>
      </c>
      <c r="AA21" s="90">
        <f t="shared" si="4"/>
        <v>0</v>
      </c>
      <c r="AB21" s="86">
        <f>(SUM(AA21:AA$28)/100)+1</f>
        <v>1</v>
      </c>
      <c r="AC21" s="84">
        <f>(AB21*AC$8)</f>
        <v>67.998901098901101</v>
      </c>
      <c r="AD21" s="84">
        <f t="shared" si="5"/>
        <v>0</v>
      </c>
      <c r="AE21" s="84">
        <f t="shared" si="6"/>
        <v>0</v>
      </c>
      <c r="AF21" s="83">
        <v>0</v>
      </c>
      <c r="AG21" s="83">
        <v>0</v>
      </c>
      <c r="AH21" s="89">
        <v>0</v>
      </c>
      <c r="AI21" s="84">
        <f t="shared" si="7"/>
        <v>0</v>
      </c>
      <c r="AJ21" s="85">
        <v>0</v>
      </c>
      <c r="AK21" s="90">
        <f t="shared" si="8"/>
        <v>0</v>
      </c>
      <c r="AL21" s="86">
        <f>(SUM(AK21:AK$28)/100)+1</f>
        <v>1</v>
      </c>
      <c r="AM21" s="84">
        <f>(AL21*AM$8)</f>
        <v>46.681074481074482</v>
      </c>
      <c r="AN21" s="84">
        <f t="shared" si="9"/>
        <v>0</v>
      </c>
      <c r="AO21" s="84">
        <f t="shared" si="10"/>
        <v>0</v>
      </c>
      <c r="AP21" s="83">
        <v>0</v>
      </c>
      <c r="AQ21" s="83">
        <v>0</v>
      </c>
      <c r="AR21" s="89">
        <v>0</v>
      </c>
      <c r="AS21" s="84">
        <f t="shared" si="11"/>
        <v>0</v>
      </c>
      <c r="AT21" s="85">
        <v>0</v>
      </c>
      <c r="AU21" s="90">
        <f t="shared" si="12"/>
        <v>0</v>
      </c>
      <c r="AV21" s="86">
        <f>(SUM(AU21:AU$28)/100)+1</f>
        <v>1</v>
      </c>
      <c r="AW21" s="84">
        <f>(AV21*AW$8)</f>
        <v>51.32087912087912</v>
      </c>
      <c r="AX21" s="84">
        <f t="shared" si="13"/>
        <v>0</v>
      </c>
      <c r="AY21" s="84">
        <f t="shared" si="14"/>
        <v>0</v>
      </c>
      <c r="AZ21" s="83">
        <v>0</v>
      </c>
      <c r="BA21" s="83">
        <v>0</v>
      </c>
      <c r="BB21" s="89">
        <v>0</v>
      </c>
      <c r="BC21" s="84">
        <f t="shared" si="15"/>
        <v>0</v>
      </c>
      <c r="BD21" s="85">
        <v>0</v>
      </c>
      <c r="BE21" s="90">
        <f t="shared" si="16"/>
        <v>0</v>
      </c>
      <c r="BF21" s="86">
        <f>(SUM(BE21:BE$28)/100)+1</f>
        <v>1</v>
      </c>
      <c r="BG21" s="84">
        <f>(BF21*BG$8)</f>
        <v>52.733455433455433</v>
      </c>
      <c r="BH21" s="84">
        <f t="shared" si="17"/>
        <v>0</v>
      </c>
      <c r="BI21" s="84">
        <f t="shared" si="18"/>
        <v>0</v>
      </c>
      <c r="BJ21" s="83">
        <v>0</v>
      </c>
      <c r="BK21" s="87">
        <v>0</v>
      </c>
      <c r="BL21" s="89">
        <v>0</v>
      </c>
      <c r="BM21" s="84">
        <f t="shared" si="19"/>
        <v>0</v>
      </c>
    </row>
    <row r="22" spans="1:65" x14ac:dyDescent="0.2">
      <c r="A22" s="91"/>
      <c r="B22" s="73"/>
      <c r="C22" s="73"/>
      <c r="D22" s="73" t="s">
        <v>115</v>
      </c>
      <c r="E22" s="83">
        <v>0</v>
      </c>
      <c r="F22" s="83">
        <v>0</v>
      </c>
      <c r="G22" s="84">
        <f t="shared" si="20"/>
        <v>0</v>
      </c>
      <c r="H22" s="85">
        <v>0</v>
      </c>
      <c r="I22" s="86">
        <f>(SUM(H22:H$28)/100)+1</f>
        <v>1</v>
      </c>
      <c r="J22" s="84">
        <f t="shared" si="23"/>
        <v>0</v>
      </c>
      <c r="K22" s="84">
        <f t="shared" si="0"/>
        <v>0</v>
      </c>
      <c r="L22" s="83"/>
      <c r="M22" s="87"/>
      <c r="N22" s="83"/>
      <c r="O22" s="84">
        <f t="shared" si="1"/>
        <v>0</v>
      </c>
      <c r="P22" s="85">
        <v>0</v>
      </c>
      <c r="Q22" s="88">
        <f t="shared" si="2"/>
        <v>0</v>
      </c>
      <c r="R22" s="86">
        <f>(SUM(Q22:Q$28)/100)+1</f>
        <v>1</v>
      </c>
      <c r="S22" s="84">
        <f>(R22*S$8)*0.9583</f>
        <v>27.176405128205129</v>
      </c>
      <c r="T22" s="84">
        <f t="shared" si="21"/>
        <v>0</v>
      </c>
      <c r="U22" s="84">
        <f t="shared" si="22"/>
        <v>0</v>
      </c>
      <c r="V22" s="83">
        <v>0</v>
      </c>
      <c r="W22" s="87">
        <v>0</v>
      </c>
      <c r="X22" s="89">
        <v>0</v>
      </c>
      <c r="Y22" s="84">
        <f t="shared" si="3"/>
        <v>0</v>
      </c>
      <c r="Z22" s="85">
        <v>0</v>
      </c>
      <c r="AA22" s="90">
        <f t="shared" si="4"/>
        <v>0</v>
      </c>
      <c r="AB22" s="86">
        <f>(SUM(AA22:AA$28)/100)+1</f>
        <v>1</v>
      </c>
      <c r="AC22" s="84">
        <f>(AB22*AC$8)*0.9631</f>
        <v>65.489741648351654</v>
      </c>
      <c r="AD22" s="84">
        <f t="shared" si="5"/>
        <v>0</v>
      </c>
      <c r="AE22" s="84">
        <f t="shared" si="6"/>
        <v>0</v>
      </c>
      <c r="AF22" s="83"/>
      <c r="AG22" s="83"/>
      <c r="AH22" s="89"/>
      <c r="AI22" s="84">
        <f t="shared" si="7"/>
        <v>0</v>
      </c>
      <c r="AJ22" s="85">
        <v>0</v>
      </c>
      <c r="AK22" s="90">
        <f t="shared" si="8"/>
        <v>0</v>
      </c>
      <c r="AL22" s="86">
        <f>(SUM(AK22:AK$28)/100)+1</f>
        <v>1</v>
      </c>
      <c r="AM22" s="84">
        <f>(AL22*AM$8)*0.9945</f>
        <v>46.424328571428575</v>
      </c>
      <c r="AN22" s="84">
        <f t="shared" si="9"/>
        <v>0</v>
      </c>
      <c r="AO22" s="84">
        <f t="shared" si="10"/>
        <v>0</v>
      </c>
      <c r="AP22" s="83"/>
      <c r="AQ22" s="83"/>
      <c r="AR22" s="89"/>
      <c r="AS22" s="84">
        <f t="shared" si="11"/>
        <v>0</v>
      </c>
      <c r="AT22" s="85">
        <v>0</v>
      </c>
      <c r="AU22" s="90">
        <f t="shared" si="12"/>
        <v>0</v>
      </c>
      <c r="AV22" s="86">
        <f>(SUM(AU22:AU$28)/100)+1</f>
        <v>1</v>
      </c>
      <c r="AW22" s="84">
        <f>(AV22*AW$8)*0.9941</f>
        <v>51.01808593406593</v>
      </c>
      <c r="AX22" s="84">
        <f t="shared" si="13"/>
        <v>0</v>
      </c>
      <c r="AY22" s="84">
        <f t="shared" si="14"/>
        <v>0</v>
      </c>
      <c r="AZ22" s="83">
        <v>0</v>
      </c>
      <c r="BA22" s="83">
        <v>0</v>
      </c>
      <c r="BB22" s="89">
        <v>0</v>
      </c>
      <c r="BC22" s="84">
        <f t="shared" si="15"/>
        <v>0</v>
      </c>
      <c r="BD22" s="85">
        <v>0</v>
      </c>
      <c r="BE22" s="90">
        <f t="shared" si="16"/>
        <v>0</v>
      </c>
      <c r="BF22" s="86">
        <f>(SUM(BE22:BE$28)/100)+1</f>
        <v>1</v>
      </c>
      <c r="BG22" s="84">
        <f>(BF22*BG$8)*0.9942</f>
        <v>52.427601391941387</v>
      </c>
      <c r="BH22" s="84">
        <f t="shared" si="17"/>
        <v>0</v>
      </c>
      <c r="BI22" s="84">
        <f t="shared" si="18"/>
        <v>0</v>
      </c>
      <c r="BJ22" s="83">
        <v>0</v>
      </c>
      <c r="BK22" s="87">
        <v>0</v>
      </c>
      <c r="BL22" s="89">
        <v>0</v>
      </c>
      <c r="BM22" s="84">
        <f t="shared" si="19"/>
        <v>0</v>
      </c>
    </row>
    <row r="23" spans="1:65" x14ac:dyDescent="0.2">
      <c r="A23" s="91">
        <v>0</v>
      </c>
      <c r="B23" s="73"/>
      <c r="C23" s="73"/>
      <c r="D23" s="73" t="s">
        <v>115</v>
      </c>
      <c r="E23" s="83">
        <v>0</v>
      </c>
      <c r="F23" s="83">
        <v>0</v>
      </c>
      <c r="G23" s="84">
        <v>0</v>
      </c>
      <c r="H23" s="85">
        <v>0</v>
      </c>
      <c r="I23" s="86">
        <f>(SUM(H23:H$28)/100)+1</f>
        <v>1</v>
      </c>
      <c r="J23" s="84">
        <f t="shared" ref="J23:J28" si="24">(I23*J$8)</f>
        <v>0</v>
      </c>
      <c r="K23" s="84">
        <f t="shared" ref="K23:K28" si="25">IF(G23&lt;=0,0,(J23*100)/G23)</f>
        <v>0</v>
      </c>
      <c r="L23" s="83"/>
      <c r="M23" s="87"/>
      <c r="N23" s="83"/>
      <c r="O23" s="84">
        <f t="shared" ref="O23:O28" si="26">(L23*N23)</f>
        <v>0</v>
      </c>
      <c r="P23" s="85">
        <v>0</v>
      </c>
      <c r="Q23" s="88">
        <f t="shared" ref="Q23:Q28" si="27">IF(T23=0,0,(((G23-(G23*H23/100))+(O23-(O23*P23/100))-T23)/-T23)*100)</f>
        <v>0</v>
      </c>
      <c r="R23" s="86">
        <f>(SUM(Q23:Q$28)/100)+1</f>
        <v>1</v>
      </c>
      <c r="S23" s="84">
        <f t="shared" ref="S23:S28" si="28">(R23*S$8)</f>
        <v>28.358974358974358</v>
      </c>
      <c r="T23" s="84">
        <f t="shared" ref="T23:T28" si="29">(G23+O23)</f>
        <v>0</v>
      </c>
      <c r="U23" s="84">
        <f t="shared" ref="U23:U28" si="30">IF(T23&lt;=0,0,(S23*100)/T23)</f>
        <v>0</v>
      </c>
      <c r="V23" s="83">
        <v>0</v>
      </c>
      <c r="W23" s="87">
        <v>0</v>
      </c>
      <c r="X23" s="89">
        <v>0</v>
      </c>
      <c r="Y23" s="84">
        <f t="shared" ref="Y23:Y28" si="31">(V23*X23)</f>
        <v>0</v>
      </c>
      <c r="Z23" s="85">
        <v>0</v>
      </c>
      <c r="AA23" s="90">
        <f t="shared" ref="AA23:AA28" si="32">IF(AD23=0,0,((((T23-(T23*Q23/100))+(Y23-(Y23*Z23/100)))-AD23)/-AD23)*100)</f>
        <v>0</v>
      </c>
      <c r="AB23" s="86">
        <f>(SUM(AA23:AA$28)/100)+1</f>
        <v>1</v>
      </c>
      <c r="AC23" s="84">
        <f>(AB23*AC$8)*0.9631</f>
        <v>65.489741648351654</v>
      </c>
      <c r="AD23" s="84">
        <f t="shared" ref="AD23:AD28" si="33">(T23+Y23)</f>
        <v>0</v>
      </c>
      <c r="AE23" s="84">
        <f t="shared" ref="AE23:AE28" si="34">IF(AD23&lt;=0,0,(AC23*100)/AD23)</f>
        <v>0</v>
      </c>
      <c r="AF23" s="83">
        <v>0</v>
      </c>
      <c r="AG23" s="83">
        <v>0</v>
      </c>
      <c r="AH23" s="89">
        <v>0</v>
      </c>
      <c r="AI23" s="84">
        <f t="shared" ref="AI23:AI28" si="35">(AF23*AH23)</f>
        <v>0</v>
      </c>
      <c r="AJ23" s="85">
        <v>0</v>
      </c>
      <c r="AK23" s="90">
        <f t="shared" ref="AK23:AK28" si="36">IF(AN23=0,0,((((AD23-(AD23*AA23/100))+(AI23-(AI23*AJ23/100)))-AN23)/-AN23)*100)</f>
        <v>0</v>
      </c>
      <c r="AL23" s="86">
        <f>(SUM(AK23:AK$28)/100)+1</f>
        <v>1</v>
      </c>
      <c r="AM23" s="84">
        <f t="shared" ref="AM23:AM28" si="37">(AL23*AM$8)</f>
        <v>46.681074481074482</v>
      </c>
      <c r="AN23" s="84">
        <f t="shared" ref="AN23:AN28" si="38">(AD23+AI23)</f>
        <v>0</v>
      </c>
      <c r="AO23" s="84">
        <f t="shared" ref="AO23:AO28" si="39">IF(AN23&lt;=0,0,(AM23*100)/AN23)</f>
        <v>0</v>
      </c>
      <c r="AP23" s="83">
        <v>0</v>
      </c>
      <c r="AQ23" s="83">
        <v>0</v>
      </c>
      <c r="AR23" s="89">
        <v>0</v>
      </c>
      <c r="AS23" s="84">
        <f t="shared" ref="AS23:AS28" si="40">(AP23*AR23)</f>
        <v>0</v>
      </c>
      <c r="AT23" s="85">
        <v>0</v>
      </c>
      <c r="AU23" s="90">
        <f t="shared" ref="AU23:AU28" si="41">IF(AX23=0,0,((((AN23-(AN23*AK23/100))+(AS23-(AS23*AT23/100)))-AX23)/-AX23)*100)</f>
        <v>0</v>
      </c>
      <c r="AV23" s="86">
        <f>(SUM(AU23:AU$28)/100)+1</f>
        <v>1</v>
      </c>
      <c r="AW23" s="84">
        <f t="shared" ref="AW23:AW28" si="42">(AV23*AW$8)</f>
        <v>51.32087912087912</v>
      </c>
      <c r="AX23" s="84">
        <f t="shared" ref="AX23:AX28" si="43">(AN23+AS23)</f>
        <v>0</v>
      </c>
      <c r="AY23" s="84">
        <f t="shared" ref="AY23:AY28" si="44">IF(AX23&lt;=0,0,(AW23*100)/AX23)</f>
        <v>0</v>
      </c>
      <c r="AZ23" s="83">
        <v>0</v>
      </c>
      <c r="BA23" s="83">
        <v>0</v>
      </c>
      <c r="BB23" s="89">
        <v>0</v>
      </c>
      <c r="BC23" s="84">
        <f t="shared" ref="BC23:BC28" si="45">(AZ23*BB23)</f>
        <v>0</v>
      </c>
      <c r="BD23" s="85">
        <v>0</v>
      </c>
      <c r="BE23" s="90">
        <f t="shared" ref="BE23:BE28" si="46">IF(BH23=0,0,((((AX23-(AX23*AU23/100))+(BC23-(BC23*BD23/100)))-BH23)/-BH23)*100)</f>
        <v>0</v>
      </c>
      <c r="BF23" s="86">
        <f>(SUM(BE23:BE$28)/100)+1</f>
        <v>1</v>
      </c>
      <c r="BG23" s="84">
        <f t="shared" ref="BG23:BG28" si="47">(BF23*BG$8)</f>
        <v>52.733455433455433</v>
      </c>
      <c r="BH23" s="84">
        <f t="shared" ref="BH23:BH28" si="48">(AX23+BC23)</f>
        <v>0</v>
      </c>
      <c r="BI23" s="84">
        <f t="shared" ref="BI23:BI28" si="49">IF(BH23&lt;=0,0,(BG23*100)/BH23)</f>
        <v>0</v>
      </c>
      <c r="BJ23" s="83">
        <v>0</v>
      </c>
      <c r="BK23" s="87">
        <v>0</v>
      </c>
      <c r="BL23" s="89">
        <v>0</v>
      </c>
      <c r="BM23" s="84">
        <f t="shared" ref="BM23:BM28" si="50">(BJ23*BL23)</f>
        <v>0</v>
      </c>
    </row>
    <row r="24" spans="1:65" x14ac:dyDescent="0.2">
      <c r="A24" s="91">
        <v>0</v>
      </c>
      <c r="B24" s="73"/>
      <c r="C24" s="73"/>
      <c r="D24" s="73" t="s">
        <v>115</v>
      </c>
      <c r="E24" s="83">
        <v>0</v>
      </c>
      <c r="F24" s="83">
        <v>0</v>
      </c>
      <c r="G24" s="84">
        <f>(E24*F24)</f>
        <v>0</v>
      </c>
      <c r="H24" s="85">
        <v>0</v>
      </c>
      <c r="I24" s="86">
        <f>(SUM(H24:H$28)/100)+1</f>
        <v>1</v>
      </c>
      <c r="J24" s="84">
        <f t="shared" si="24"/>
        <v>0</v>
      </c>
      <c r="K24" s="84">
        <f t="shared" si="25"/>
        <v>0</v>
      </c>
      <c r="L24" s="83">
        <v>0</v>
      </c>
      <c r="M24" s="87">
        <v>0</v>
      </c>
      <c r="N24" s="83">
        <v>0</v>
      </c>
      <c r="O24" s="84">
        <f t="shared" si="26"/>
        <v>0</v>
      </c>
      <c r="P24" s="85">
        <v>0</v>
      </c>
      <c r="Q24" s="88">
        <f t="shared" si="27"/>
        <v>0</v>
      </c>
      <c r="R24" s="86">
        <f>(SUM(Q24:Q$28)/100)+1</f>
        <v>1</v>
      </c>
      <c r="S24" s="84">
        <f t="shared" si="28"/>
        <v>28.358974358974358</v>
      </c>
      <c r="T24" s="84">
        <f t="shared" si="29"/>
        <v>0</v>
      </c>
      <c r="U24" s="84">
        <f t="shared" si="30"/>
        <v>0</v>
      </c>
      <c r="V24" s="83">
        <v>0</v>
      </c>
      <c r="W24" s="87">
        <v>0</v>
      </c>
      <c r="X24" s="89">
        <v>0</v>
      </c>
      <c r="Y24" s="84">
        <f t="shared" si="31"/>
        <v>0</v>
      </c>
      <c r="Z24" s="85">
        <v>0</v>
      </c>
      <c r="AA24" s="90">
        <f t="shared" si="32"/>
        <v>0</v>
      </c>
      <c r="AB24" s="86">
        <f>(SUM(AA24:AA$28)/100)+1</f>
        <v>1</v>
      </c>
      <c r="AC24" s="84">
        <f>(AB24*AC$8)</f>
        <v>67.998901098901101</v>
      </c>
      <c r="AD24" s="84">
        <f t="shared" si="33"/>
        <v>0</v>
      </c>
      <c r="AE24" s="84">
        <f t="shared" si="34"/>
        <v>0</v>
      </c>
      <c r="AF24" s="83">
        <v>0</v>
      </c>
      <c r="AG24" s="83">
        <v>0</v>
      </c>
      <c r="AH24" s="89">
        <v>0</v>
      </c>
      <c r="AI24" s="84">
        <f t="shared" si="35"/>
        <v>0</v>
      </c>
      <c r="AJ24" s="85">
        <v>0</v>
      </c>
      <c r="AK24" s="90">
        <f t="shared" si="36"/>
        <v>0</v>
      </c>
      <c r="AL24" s="86">
        <f>(SUM(AK24:AK$28)/100)+1</f>
        <v>1</v>
      </c>
      <c r="AM24" s="84">
        <f t="shared" si="37"/>
        <v>46.681074481074482</v>
      </c>
      <c r="AN24" s="84">
        <f t="shared" si="38"/>
        <v>0</v>
      </c>
      <c r="AO24" s="84">
        <f t="shared" si="39"/>
        <v>0</v>
      </c>
      <c r="AP24" s="83">
        <v>0</v>
      </c>
      <c r="AQ24" s="83">
        <v>0</v>
      </c>
      <c r="AR24" s="89">
        <v>0</v>
      </c>
      <c r="AS24" s="84">
        <f t="shared" si="40"/>
        <v>0</v>
      </c>
      <c r="AT24" s="85">
        <v>0</v>
      </c>
      <c r="AU24" s="90">
        <f t="shared" si="41"/>
        <v>0</v>
      </c>
      <c r="AV24" s="86">
        <f>(SUM(AU24:AU$28)/100)+1</f>
        <v>1</v>
      </c>
      <c r="AW24" s="84">
        <f t="shared" si="42"/>
        <v>51.32087912087912</v>
      </c>
      <c r="AX24" s="84">
        <f t="shared" si="43"/>
        <v>0</v>
      </c>
      <c r="AY24" s="84">
        <f t="shared" si="44"/>
        <v>0</v>
      </c>
      <c r="AZ24" s="83">
        <v>0</v>
      </c>
      <c r="BA24" s="83">
        <v>0</v>
      </c>
      <c r="BB24" s="89">
        <v>0</v>
      </c>
      <c r="BC24" s="84">
        <f t="shared" si="45"/>
        <v>0</v>
      </c>
      <c r="BD24" s="85">
        <v>0</v>
      </c>
      <c r="BE24" s="90">
        <f t="shared" si="46"/>
        <v>0</v>
      </c>
      <c r="BF24" s="86">
        <f>(SUM(BE24:BE$28)/100)+1</f>
        <v>1</v>
      </c>
      <c r="BG24" s="84">
        <f t="shared" si="47"/>
        <v>52.733455433455433</v>
      </c>
      <c r="BH24" s="84">
        <f t="shared" si="48"/>
        <v>0</v>
      </c>
      <c r="BI24" s="84">
        <f t="shared" si="49"/>
        <v>0</v>
      </c>
      <c r="BJ24" s="83">
        <v>0</v>
      </c>
      <c r="BK24" s="87">
        <v>0</v>
      </c>
      <c r="BL24" s="89">
        <v>0</v>
      </c>
      <c r="BM24" s="84">
        <f t="shared" si="50"/>
        <v>0</v>
      </c>
    </row>
    <row r="25" spans="1:65" x14ac:dyDescent="0.2">
      <c r="A25" s="91">
        <v>0</v>
      </c>
      <c r="B25" s="73"/>
      <c r="C25" s="73"/>
      <c r="D25" s="73" t="s">
        <v>115</v>
      </c>
      <c r="E25" s="83">
        <v>0</v>
      </c>
      <c r="F25" s="83">
        <v>0</v>
      </c>
      <c r="G25" s="84">
        <f>(E25*F25)</f>
        <v>0</v>
      </c>
      <c r="H25" s="85">
        <v>0</v>
      </c>
      <c r="I25" s="86">
        <f>(SUM(H25:H$28)/100)+1</f>
        <v>1</v>
      </c>
      <c r="J25" s="84">
        <f t="shared" si="24"/>
        <v>0</v>
      </c>
      <c r="K25" s="84">
        <f t="shared" si="25"/>
        <v>0</v>
      </c>
      <c r="L25" s="83">
        <v>0</v>
      </c>
      <c r="M25" s="87">
        <v>0</v>
      </c>
      <c r="N25" s="83">
        <v>0</v>
      </c>
      <c r="O25" s="84">
        <f t="shared" si="26"/>
        <v>0</v>
      </c>
      <c r="P25" s="85">
        <v>0</v>
      </c>
      <c r="Q25" s="88">
        <f t="shared" si="27"/>
        <v>0</v>
      </c>
      <c r="R25" s="86">
        <f>(SUM(Q25:Q$28)/100)+1</f>
        <v>1</v>
      </c>
      <c r="S25" s="84">
        <f t="shared" si="28"/>
        <v>28.358974358974358</v>
      </c>
      <c r="T25" s="84">
        <f t="shared" si="29"/>
        <v>0</v>
      </c>
      <c r="U25" s="84">
        <f t="shared" si="30"/>
        <v>0</v>
      </c>
      <c r="V25" s="83">
        <v>0</v>
      </c>
      <c r="W25" s="87">
        <v>0</v>
      </c>
      <c r="X25" s="89">
        <v>0</v>
      </c>
      <c r="Y25" s="84">
        <f t="shared" si="31"/>
        <v>0</v>
      </c>
      <c r="Z25" s="85">
        <v>0</v>
      </c>
      <c r="AA25" s="90">
        <f t="shared" si="32"/>
        <v>0</v>
      </c>
      <c r="AB25" s="86">
        <f>(SUM(AA25:AA$28)/100)+1</f>
        <v>1</v>
      </c>
      <c r="AC25" s="84">
        <f>(AB25*AC$8)</f>
        <v>67.998901098901101</v>
      </c>
      <c r="AD25" s="84">
        <f t="shared" si="33"/>
        <v>0</v>
      </c>
      <c r="AE25" s="84">
        <f t="shared" si="34"/>
        <v>0</v>
      </c>
      <c r="AF25" s="83">
        <v>0</v>
      </c>
      <c r="AG25" s="83">
        <v>0</v>
      </c>
      <c r="AH25" s="89">
        <v>0</v>
      </c>
      <c r="AI25" s="84">
        <f t="shared" si="35"/>
        <v>0</v>
      </c>
      <c r="AJ25" s="85">
        <v>0</v>
      </c>
      <c r="AK25" s="90">
        <f t="shared" si="36"/>
        <v>0</v>
      </c>
      <c r="AL25" s="86">
        <f>(SUM(AK25:AK$28)/100)+1</f>
        <v>1</v>
      </c>
      <c r="AM25" s="84">
        <f t="shared" si="37"/>
        <v>46.681074481074482</v>
      </c>
      <c r="AN25" s="84">
        <f t="shared" si="38"/>
        <v>0</v>
      </c>
      <c r="AO25" s="84">
        <f t="shared" si="39"/>
        <v>0</v>
      </c>
      <c r="AP25" s="83">
        <v>0</v>
      </c>
      <c r="AQ25" s="83">
        <v>0</v>
      </c>
      <c r="AR25" s="89">
        <v>0</v>
      </c>
      <c r="AS25" s="84">
        <f t="shared" si="40"/>
        <v>0</v>
      </c>
      <c r="AT25" s="85">
        <v>0</v>
      </c>
      <c r="AU25" s="90">
        <f t="shared" si="41"/>
        <v>0</v>
      </c>
      <c r="AV25" s="86">
        <f>(SUM(AU25:AU$28)/100)+1</f>
        <v>1</v>
      </c>
      <c r="AW25" s="84">
        <f t="shared" si="42"/>
        <v>51.32087912087912</v>
      </c>
      <c r="AX25" s="84">
        <f t="shared" si="43"/>
        <v>0</v>
      </c>
      <c r="AY25" s="84">
        <f t="shared" si="44"/>
        <v>0</v>
      </c>
      <c r="AZ25" s="83">
        <v>0</v>
      </c>
      <c r="BA25" s="83">
        <v>0</v>
      </c>
      <c r="BB25" s="89">
        <v>0</v>
      </c>
      <c r="BC25" s="84">
        <f t="shared" si="45"/>
        <v>0</v>
      </c>
      <c r="BD25" s="85">
        <v>0</v>
      </c>
      <c r="BE25" s="90">
        <f t="shared" si="46"/>
        <v>0</v>
      </c>
      <c r="BF25" s="86">
        <f>(SUM(BE25:BE$28)/100)+1</f>
        <v>1</v>
      </c>
      <c r="BG25" s="84">
        <f t="shared" si="47"/>
        <v>52.733455433455433</v>
      </c>
      <c r="BH25" s="84">
        <f t="shared" si="48"/>
        <v>0</v>
      </c>
      <c r="BI25" s="84">
        <f t="shared" si="49"/>
        <v>0</v>
      </c>
      <c r="BJ25" s="83">
        <v>0</v>
      </c>
      <c r="BK25" s="87">
        <v>0</v>
      </c>
      <c r="BL25" s="89">
        <v>0</v>
      </c>
      <c r="BM25" s="84">
        <f t="shared" si="50"/>
        <v>0</v>
      </c>
    </row>
    <row r="26" spans="1:65" x14ac:dyDescent="0.2">
      <c r="A26" s="91">
        <v>0</v>
      </c>
      <c r="B26" s="73"/>
      <c r="C26" s="73"/>
      <c r="D26" s="73" t="s">
        <v>115</v>
      </c>
      <c r="E26" s="83">
        <v>0</v>
      </c>
      <c r="F26" s="83">
        <v>0</v>
      </c>
      <c r="G26" s="84">
        <f>(E26*F26)</f>
        <v>0</v>
      </c>
      <c r="H26" s="85">
        <v>0</v>
      </c>
      <c r="I26" s="86">
        <f>(SUM(H26:H$28)/100)+1</f>
        <v>1</v>
      </c>
      <c r="J26" s="84">
        <f t="shared" si="24"/>
        <v>0</v>
      </c>
      <c r="K26" s="84">
        <f t="shared" si="25"/>
        <v>0</v>
      </c>
      <c r="L26" s="83">
        <v>0</v>
      </c>
      <c r="M26" s="87">
        <v>0</v>
      </c>
      <c r="N26" s="83">
        <v>0</v>
      </c>
      <c r="O26" s="84">
        <f t="shared" si="26"/>
        <v>0</v>
      </c>
      <c r="P26" s="85">
        <v>0</v>
      </c>
      <c r="Q26" s="88">
        <f t="shared" si="27"/>
        <v>0</v>
      </c>
      <c r="R26" s="86">
        <f>(SUM(Q26:Q$28)/100)+1</f>
        <v>1</v>
      </c>
      <c r="S26" s="84">
        <f t="shared" si="28"/>
        <v>28.358974358974358</v>
      </c>
      <c r="T26" s="84">
        <f t="shared" si="29"/>
        <v>0</v>
      </c>
      <c r="U26" s="84">
        <f t="shared" si="30"/>
        <v>0</v>
      </c>
      <c r="V26" s="83">
        <v>0</v>
      </c>
      <c r="W26" s="87">
        <v>0</v>
      </c>
      <c r="X26" s="89">
        <v>0</v>
      </c>
      <c r="Y26" s="84">
        <f t="shared" si="31"/>
        <v>0</v>
      </c>
      <c r="Z26" s="85">
        <v>0</v>
      </c>
      <c r="AA26" s="90">
        <f t="shared" si="32"/>
        <v>0</v>
      </c>
      <c r="AB26" s="86">
        <f>(SUM(AA26:AA$28)/100)+1</f>
        <v>1</v>
      </c>
      <c r="AC26" s="84">
        <f>(AB26*AC$8)</f>
        <v>67.998901098901101</v>
      </c>
      <c r="AD26" s="84">
        <f t="shared" si="33"/>
        <v>0</v>
      </c>
      <c r="AE26" s="84">
        <f t="shared" si="34"/>
        <v>0</v>
      </c>
      <c r="AF26" s="83">
        <v>0</v>
      </c>
      <c r="AG26" s="83">
        <v>0</v>
      </c>
      <c r="AH26" s="89">
        <v>0</v>
      </c>
      <c r="AI26" s="84">
        <f t="shared" si="35"/>
        <v>0</v>
      </c>
      <c r="AJ26" s="85">
        <v>0</v>
      </c>
      <c r="AK26" s="90">
        <f t="shared" si="36"/>
        <v>0</v>
      </c>
      <c r="AL26" s="86">
        <f>(SUM(AK26:AK$28)/100)+1</f>
        <v>1</v>
      </c>
      <c r="AM26" s="84">
        <f t="shared" si="37"/>
        <v>46.681074481074482</v>
      </c>
      <c r="AN26" s="84">
        <f t="shared" si="38"/>
        <v>0</v>
      </c>
      <c r="AO26" s="84">
        <f t="shared" si="39"/>
        <v>0</v>
      </c>
      <c r="AP26" s="83">
        <v>0</v>
      </c>
      <c r="AQ26" s="83">
        <v>0</v>
      </c>
      <c r="AR26" s="89">
        <v>0</v>
      </c>
      <c r="AS26" s="84">
        <f t="shared" si="40"/>
        <v>0</v>
      </c>
      <c r="AT26" s="85">
        <v>0</v>
      </c>
      <c r="AU26" s="90">
        <f t="shared" si="41"/>
        <v>0</v>
      </c>
      <c r="AV26" s="86">
        <f>(SUM(AU26:AU$28)/100)+1</f>
        <v>1</v>
      </c>
      <c r="AW26" s="84">
        <f t="shared" si="42"/>
        <v>51.32087912087912</v>
      </c>
      <c r="AX26" s="84">
        <f t="shared" si="43"/>
        <v>0</v>
      </c>
      <c r="AY26" s="84">
        <f t="shared" si="44"/>
        <v>0</v>
      </c>
      <c r="AZ26" s="83">
        <v>0</v>
      </c>
      <c r="BA26" s="83">
        <v>0</v>
      </c>
      <c r="BB26" s="89">
        <v>0</v>
      </c>
      <c r="BC26" s="84">
        <f t="shared" si="45"/>
        <v>0</v>
      </c>
      <c r="BD26" s="85">
        <v>0</v>
      </c>
      <c r="BE26" s="90">
        <f t="shared" si="46"/>
        <v>0</v>
      </c>
      <c r="BF26" s="86">
        <f>(SUM(BE26:BE$28)/100)+1</f>
        <v>1</v>
      </c>
      <c r="BG26" s="84">
        <f t="shared" si="47"/>
        <v>52.733455433455433</v>
      </c>
      <c r="BH26" s="84">
        <f t="shared" si="48"/>
        <v>0</v>
      </c>
      <c r="BI26" s="84">
        <f t="shared" si="49"/>
        <v>0</v>
      </c>
      <c r="BJ26" s="83">
        <v>0</v>
      </c>
      <c r="BK26" s="87">
        <v>0</v>
      </c>
      <c r="BL26" s="89">
        <v>0</v>
      </c>
      <c r="BM26" s="84">
        <f t="shared" si="50"/>
        <v>0</v>
      </c>
    </row>
    <row r="27" spans="1:65" x14ac:dyDescent="0.2">
      <c r="A27" s="91">
        <v>0</v>
      </c>
      <c r="B27" s="73"/>
      <c r="C27" s="73"/>
      <c r="D27" s="73" t="s">
        <v>115</v>
      </c>
      <c r="E27" s="83">
        <v>0</v>
      </c>
      <c r="F27" s="83">
        <v>0</v>
      </c>
      <c r="G27" s="84">
        <f>(E27*F27)</f>
        <v>0</v>
      </c>
      <c r="H27" s="85">
        <v>0</v>
      </c>
      <c r="I27" s="86">
        <f>(SUM(H27:H$28)/100)+1</f>
        <v>1</v>
      </c>
      <c r="J27" s="84">
        <f t="shared" si="24"/>
        <v>0</v>
      </c>
      <c r="K27" s="84">
        <f t="shared" si="25"/>
        <v>0</v>
      </c>
      <c r="L27" s="83">
        <v>0</v>
      </c>
      <c r="M27" s="87">
        <v>0</v>
      </c>
      <c r="N27" s="83">
        <v>0</v>
      </c>
      <c r="O27" s="84">
        <f t="shared" si="26"/>
        <v>0</v>
      </c>
      <c r="P27" s="85">
        <v>0</v>
      </c>
      <c r="Q27" s="88">
        <f t="shared" si="27"/>
        <v>0</v>
      </c>
      <c r="R27" s="86">
        <f>(SUM(Q27:Q$28)/100)+1</f>
        <v>1</v>
      </c>
      <c r="S27" s="84">
        <f t="shared" si="28"/>
        <v>28.358974358974358</v>
      </c>
      <c r="T27" s="84">
        <f t="shared" si="29"/>
        <v>0</v>
      </c>
      <c r="U27" s="84">
        <f t="shared" si="30"/>
        <v>0</v>
      </c>
      <c r="V27" s="83">
        <v>0</v>
      </c>
      <c r="W27" s="87">
        <v>0</v>
      </c>
      <c r="X27" s="89">
        <v>0</v>
      </c>
      <c r="Y27" s="84">
        <f t="shared" si="31"/>
        <v>0</v>
      </c>
      <c r="Z27" s="85">
        <v>0</v>
      </c>
      <c r="AA27" s="90">
        <f t="shared" si="32"/>
        <v>0</v>
      </c>
      <c r="AB27" s="86">
        <f>(SUM(AA27:AA$28)/100)+1</f>
        <v>1</v>
      </c>
      <c r="AC27" s="84">
        <f>(AB27*AC$8)</f>
        <v>67.998901098901101</v>
      </c>
      <c r="AD27" s="84">
        <f t="shared" si="33"/>
        <v>0</v>
      </c>
      <c r="AE27" s="84">
        <f t="shared" si="34"/>
        <v>0</v>
      </c>
      <c r="AF27" s="83">
        <v>0</v>
      </c>
      <c r="AG27" s="83">
        <v>0</v>
      </c>
      <c r="AH27" s="89">
        <v>0</v>
      </c>
      <c r="AI27" s="84">
        <f t="shared" si="35"/>
        <v>0</v>
      </c>
      <c r="AJ27" s="85">
        <v>0</v>
      </c>
      <c r="AK27" s="90">
        <f t="shared" si="36"/>
        <v>0</v>
      </c>
      <c r="AL27" s="86">
        <f>(SUM(AK27:AK$28)/100)+1</f>
        <v>1</v>
      </c>
      <c r="AM27" s="84">
        <f t="shared" si="37"/>
        <v>46.681074481074482</v>
      </c>
      <c r="AN27" s="84">
        <f t="shared" si="38"/>
        <v>0</v>
      </c>
      <c r="AO27" s="84">
        <f t="shared" si="39"/>
        <v>0</v>
      </c>
      <c r="AP27" s="83">
        <v>0</v>
      </c>
      <c r="AQ27" s="83">
        <v>0</v>
      </c>
      <c r="AR27" s="89">
        <v>0</v>
      </c>
      <c r="AS27" s="84">
        <f t="shared" si="40"/>
        <v>0</v>
      </c>
      <c r="AT27" s="85">
        <v>0</v>
      </c>
      <c r="AU27" s="90">
        <f t="shared" si="41"/>
        <v>0</v>
      </c>
      <c r="AV27" s="86">
        <f>(SUM(AU27:AU$28)/100)+1</f>
        <v>1</v>
      </c>
      <c r="AW27" s="84">
        <f t="shared" si="42"/>
        <v>51.32087912087912</v>
      </c>
      <c r="AX27" s="84">
        <f t="shared" si="43"/>
        <v>0</v>
      </c>
      <c r="AY27" s="84">
        <f t="shared" si="44"/>
        <v>0</v>
      </c>
      <c r="AZ27" s="83">
        <v>0</v>
      </c>
      <c r="BA27" s="83">
        <v>0</v>
      </c>
      <c r="BB27" s="89">
        <v>0</v>
      </c>
      <c r="BC27" s="84">
        <f t="shared" si="45"/>
        <v>0</v>
      </c>
      <c r="BD27" s="85">
        <v>0</v>
      </c>
      <c r="BE27" s="90">
        <f t="shared" si="46"/>
        <v>0</v>
      </c>
      <c r="BF27" s="86">
        <f>(SUM(BE27:BE$28)/100)+1</f>
        <v>1</v>
      </c>
      <c r="BG27" s="84">
        <f t="shared" si="47"/>
        <v>52.733455433455433</v>
      </c>
      <c r="BH27" s="84">
        <f t="shared" si="48"/>
        <v>0</v>
      </c>
      <c r="BI27" s="84">
        <f t="shared" si="49"/>
        <v>0</v>
      </c>
      <c r="BJ27" s="83">
        <v>0</v>
      </c>
      <c r="BK27" s="87">
        <v>0</v>
      </c>
      <c r="BL27" s="89">
        <v>0</v>
      </c>
      <c r="BM27" s="84">
        <f t="shared" si="50"/>
        <v>0</v>
      </c>
    </row>
    <row r="28" spans="1:65" x14ac:dyDescent="0.2">
      <c r="A28" s="91">
        <v>0</v>
      </c>
      <c r="B28" s="73"/>
      <c r="C28" s="73"/>
      <c r="D28" s="73" t="s">
        <v>115</v>
      </c>
      <c r="E28" s="83">
        <v>0</v>
      </c>
      <c r="F28" s="83">
        <v>0</v>
      </c>
      <c r="G28" s="92">
        <f>(E28*F28)</f>
        <v>0</v>
      </c>
      <c r="H28" s="85">
        <v>0</v>
      </c>
      <c r="I28" s="86">
        <f>(SUM(H28:H$28)/100)+1</f>
        <v>1</v>
      </c>
      <c r="J28" s="92">
        <f t="shared" si="24"/>
        <v>0</v>
      </c>
      <c r="K28" s="93">
        <f t="shared" si="25"/>
        <v>0</v>
      </c>
      <c r="L28" s="83">
        <v>0</v>
      </c>
      <c r="M28" s="87">
        <v>0</v>
      </c>
      <c r="N28" s="83">
        <v>0</v>
      </c>
      <c r="O28" s="92">
        <f t="shared" si="26"/>
        <v>0</v>
      </c>
      <c r="P28" s="85">
        <v>0</v>
      </c>
      <c r="Q28" s="94">
        <f t="shared" si="27"/>
        <v>0</v>
      </c>
      <c r="R28" s="86">
        <f>(SUM(Q28:Q$28)/100)+1</f>
        <v>1</v>
      </c>
      <c r="S28" s="92">
        <f t="shared" si="28"/>
        <v>28.358974358974358</v>
      </c>
      <c r="T28" s="92">
        <f t="shared" si="29"/>
        <v>0</v>
      </c>
      <c r="U28" s="92">
        <f t="shared" si="30"/>
        <v>0</v>
      </c>
      <c r="V28" s="83">
        <v>0</v>
      </c>
      <c r="W28" s="87">
        <v>0</v>
      </c>
      <c r="X28" s="89">
        <v>0</v>
      </c>
      <c r="Y28" s="92">
        <f t="shared" si="31"/>
        <v>0</v>
      </c>
      <c r="Z28" s="85">
        <v>0</v>
      </c>
      <c r="AA28" s="95">
        <f t="shared" si="32"/>
        <v>0</v>
      </c>
      <c r="AB28" s="86">
        <f>(SUM(AA28:AA$28)/100)+1</f>
        <v>1</v>
      </c>
      <c r="AC28" s="92">
        <f>(AB28*AC$8)</f>
        <v>67.998901098901101</v>
      </c>
      <c r="AD28" s="92">
        <f t="shared" si="33"/>
        <v>0</v>
      </c>
      <c r="AE28" s="92">
        <f t="shared" si="34"/>
        <v>0</v>
      </c>
      <c r="AF28" s="83">
        <v>0</v>
      </c>
      <c r="AG28" s="83">
        <v>0</v>
      </c>
      <c r="AH28" s="89">
        <v>0</v>
      </c>
      <c r="AI28" s="92">
        <f t="shared" si="35"/>
        <v>0</v>
      </c>
      <c r="AJ28" s="85">
        <v>0</v>
      </c>
      <c r="AK28" s="95">
        <f t="shared" si="36"/>
        <v>0</v>
      </c>
      <c r="AL28" s="86">
        <f>(SUM(AK28:AK$28)/100)+1</f>
        <v>1</v>
      </c>
      <c r="AM28" s="92">
        <f t="shared" si="37"/>
        <v>46.681074481074482</v>
      </c>
      <c r="AN28" s="92">
        <f t="shared" si="38"/>
        <v>0</v>
      </c>
      <c r="AO28" s="92">
        <f t="shared" si="39"/>
        <v>0</v>
      </c>
      <c r="AP28" s="83">
        <v>0</v>
      </c>
      <c r="AQ28" s="83">
        <v>0</v>
      </c>
      <c r="AR28" s="89">
        <v>0</v>
      </c>
      <c r="AS28" s="92">
        <f t="shared" si="40"/>
        <v>0</v>
      </c>
      <c r="AT28" s="85">
        <v>0</v>
      </c>
      <c r="AU28" s="95">
        <f t="shared" si="41"/>
        <v>0</v>
      </c>
      <c r="AV28" s="86">
        <f>(SUM(AU28:AU$28)/100)+1</f>
        <v>1</v>
      </c>
      <c r="AW28" s="92">
        <f t="shared" si="42"/>
        <v>51.32087912087912</v>
      </c>
      <c r="AX28" s="92">
        <f t="shared" si="43"/>
        <v>0</v>
      </c>
      <c r="AY28" s="92">
        <f t="shared" si="44"/>
        <v>0</v>
      </c>
      <c r="AZ28" s="83">
        <v>0</v>
      </c>
      <c r="BA28" s="83">
        <v>0</v>
      </c>
      <c r="BB28" s="89">
        <v>0</v>
      </c>
      <c r="BC28" s="92">
        <f t="shared" si="45"/>
        <v>0</v>
      </c>
      <c r="BD28" s="85">
        <v>0</v>
      </c>
      <c r="BE28" s="95">
        <f t="shared" si="46"/>
        <v>0</v>
      </c>
      <c r="BF28" s="86">
        <f>(SUM(BE28:BE$28)/100)+1</f>
        <v>1</v>
      </c>
      <c r="BG28" s="92">
        <f t="shared" si="47"/>
        <v>52.733455433455433</v>
      </c>
      <c r="BH28" s="92">
        <f t="shared" si="48"/>
        <v>0</v>
      </c>
      <c r="BI28" s="92">
        <f t="shared" si="49"/>
        <v>0</v>
      </c>
      <c r="BJ28" s="83">
        <v>0</v>
      </c>
      <c r="BK28" s="87">
        <v>0</v>
      </c>
      <c r="BL28" s="89">
        <v>0</v>
      </c>
      <c r="BM28" s="92">
        <f t="shared" si="50"/>
        <v>0</v>
      </c>
    </row>
    <row r="29" spans="1:65" x14ac:dyDescent="0.2">
      <c r="A29" s="96" t="s">
        <v>116</v>
      </c>
      <c r="B29" s="97"/>
      <c r="C29" s="97"/>
      <c r="D29" s="97"/>
      <c r="E29" s="98">
        <f>SUM($E$9:$E$28)</f>
        <v>15</v>
      </c>
      <c r="F29" s="97"/>
      <c r="G29" s="99"/>
      <c r="H29" s="98">
        <f>SUM(H9:H28)</f>
        <v>0</v>
      </c>
      <c r="I29" s="100"/>
      <c r="J29" s="101">
        <f>($J$28-($J$28*($H$28/100)))</f>
        <v>0</v>
      </c>
      <c r="K29" s="102"/>
      <c r="L29" s="103">
        <f>SUM($L$9:$L$28)</f>
        <v>0</v>
      </c>
      <c r="M29" s="103">
        <f>SUM($M$9:$M$28)</f>
        <v>0</v>
      </c>
      <c r="N29" s="104"/>
      <c r="O29" s="97"/>
      <c r="P29" s="102"/>
      <c r="Q29" s="105">
        <f>SUM($Q$9:$Q$28)</f>
        <v>0</v>
      </c>
      <c r="R29" s="100"/>
      <c r="S29" s="106">
        <f>($S$28-($S$28*($Q$28/100)))</f>
        <v>28.358974358974358</v>
      </c>
      <c r="T29" s="97"/>
      <c r="U29" s="97"/>
      <c r="V29" s="103">
        <f>SUM($V$9:$V$28)</f>
        <v>0</v>
      </c>
      <c r="W29" s="103">
        <f>SUM($W$9:$W$28)</f>
        <v>0</v>
      </c>
      <c r="X29" s="107"/>
      <c r="Y29" s="97"/>
      <c r="Z29" s="97"/>
      <c r="AA29" s="108">
        <f>SUM($AA$9:$AA$28)</f>
        <v>0</v>
      </c>
      <c r="AB29" s="97"/>
      <c r="AC29" s="106">
        <f>($AC$28-($AC$28*($AA$28/100)))</f>
        <v>67.998901098901101</v>
      </c>
      <c r="AD29" s="97"/>
      <c r="AE29" s="97"/>
      <c r="AF29" s="103">
        <f>SUM($AF$9:$AF$28)</f>
        <v>1</v>
      </c>
      <c r="AG29" s="103">
        <f>SUM($AG$9:$AG$28)</f>
        <v>196</v>
      </c>
      <c r="AH29" s="104"/>
      <c r="AI29" s="97"/>
      <c r="AJ29" s="97"/>
      <c r="AK29" s="108">
        <f>SUM($AK$9:$AK$28)</f>
        <v>0</v>
      </c>
      <c r="AL29" s="97"/>
      <c r="AM29" s="106">
        <f>($AM$28-($AM$28*($AK$28/100)))</f>
        <v>46.681074481074482</v>
      </c>
      <c r="AN29" s="97"/>
      <c r="AO29" s="97"/>
      <c r="AP29" s="103">
        <f>SUM($AP$9:$AP$28)</f>
        <v>1</v>
      </c>
      <c r="AQ29" s="103">
        <f>SUM($AQ$9:$AQ$28)</f>
        <v>280</v>
      </c>
      <c r="AR29" s="107"/>
      <c r="AS29" s="97"/>
      <c r="AT29" s="97"/>
      <c r="AU29" s="108">
        <f>SUM($AU$9:$AU$28)</f>
        <v>0</v>
      </c>
      <c r="AV29" s="97"/>
      <c r="AW29" s="106">
        <f>($AW$28-($AW$28*($AU$28/100)))</f>
        <v>51.32087912087912</v>
      </c>
      <c r="AX29" s="97"/>
      <c r="AY29" s="97"/>
      <c r="AZ29" s="103">
        <f>SUM($AZ$9:$AZ$28)</f>
        <v>0</v>
      </c>
      <c r="BA29" s="103">
        <f>SUM($BA$9:$BA$28)</f>
        <v>0</v>
      </c>
      <c r="BB29" s="104"/>
      <c r="BC29" s="97"/>
      <c r="BD29" s="97"/>
      <c r="BE29" s="108">
        <f>SUM(BE9:BE28)</f>
        <v>0</v>
      </c>
      <c r="BF29" s="97"/>
      <c r="BG29" s="106">
        <f>($BG$28-($BG$28*($BE$28/100)))</f>
        <v>52.733455433455433</v>
      </c>
      <c r="BH29" s="97"/>
      <c r="BI29" s="97"/>
      <c r="BJ29" s="103">
        <f>SUM($BJ$9:$BJ$28)</f>
        <v>0</v>
      </c>
      <c r="BK29" s="103">
        <f>SUM($BK$9:$BK$28)</f>
        <v>0</v>
      </c>
      <c r="BL29" s="107"/>
      <c r="BM29" s="97"/>
    </row>
    <row r="30" spans="1:65" x14ac:dyDescent="0.2">
      <c r="AR30" s="109"/>
    </row>
    <row r="31" spans="1:65" x14ac:dyDescent="0.2">
      <c r="A31" s="55" t="s">
        <v>117</v>
      </c>
      <c r="B31" s="110"/>
      <c r="C31" s="110"/>
      <c r="D31" s="110"/>
      <c r="E31" s="110"/>
      <c r="AR31" s="109"/>
    </row>
    <row r="32" spans="1:65" x14ac:dyDescent="0.2">
      <c r="A32" s="111">
        <v>2020</v>
      </c>
      <c r="B32" s="112"/>
      <c r="C32" s="112"/>
      <c r="D32" s="112"/>
      <c r="E32" s="112"/>
      <c r="F32" s="113"/>
      <c r="G32" s="114"/>
      <c r="AR32" s="109"/>
    </row>
    <row r="33" spans="1:44" x14ac:dyDescent="0.2">
      <c r="A33" s="67" t="s">
        <v>118</v>
      </c>
      <c r="B33" s="63"/>
      <c r="C33" s="115" t="s">
        <v>76</v>
      </c>
      <c r="D33" s="116"/>
      <c r="E33" s="117" t="s">
        <v>119</v>
      </c>
      <c r="F33" s="118" t="s">
        <v>120</v>
      </c>
      <c r="G33" s="119"/>
      <c r="AR33" s="109"/>
    </row>
    <row r="34" spans="1:44" x14ac:dyDescent="0.2">
      <c r="A34" s="61" t="s">
        <v>82</v>
      </c>
      <c r="B34" s="120" t="s">
        <v>121</v>
      </c>
      <c r="C34" s="121" t="s">
        <v>93</v>
      </c>
      <c r="D34" s="120" t="s">
        <v>122</v>
      </c>
      <c r="E34" s="122" t="s">
        <v>89</v>
      </c>
      <c r="F34" s="118" t="s">
        <v>123</v>
      </c>
      <c r="G34" s="119"/>
      <c r="AR34" s="109"/>
    </row>
    <row r="35" spans="1:44" x14ac:dyDescent="0.2">
      <c r="A35" s="123">
        <f t="shared" ref="A35:B48" si="51">IF($E$35=$K9,+A9,+A36)</f>
        <v>10</v>
      </c>
      <c r="B35" s="124" t="str">
        <f t="shared" si="51"/>
        <v>La uno</v>
      </c>
      <c r="C35" s="125">
        <f t="shared" ref="C35:C48" si="52">IF($E$35=$K9,+G9*$J$4,+C36)</f>
        <v>0</v>
      </c>
      <c r="D35" s="124">
        <f>L4</f>
        <v>20655</v>
      </c>
      <c r="E35" s="126">
        <f>MAXA(K$9:K$28)</f>
        <v>0</v>
      </c>
      <c r="F35" s="127">
        <f>M29</f>
        <v>0</v>
      </c>
      <c r="G35" s="128"/>
      <c r="AR35" s="109"/>
    </row>
    <row r="36" spans="1:44" hidden="1" x14ac:dyDescent="0.2">
      <c r="A36" s="109">
        <f t="shared" si="51"/>
        <v>20</v>
      </c>
      <c r="B36" s="109" t="str">
        <f t="shared" si="51"/>
        <v>La dos</v>
      </c>
      <c r="C36" s="124">
        <f t="shared" si="52"/>
        <v>0</v>
      </c>
      <c r="D36" s="129"/>
      <c r="E36" s="130"/>
      <c r="F36" s="110"/>
      <c r="G36" s="110"/>
      <c r="AR36" s="109"/>
    </row>
    <row r="37" spans="1:44" hidden="1" x14ac:dyDescent="0.2">
      <c r="A37" s="109">
        <f t="shared" si="51"/>
        <v>30</v>
      </c>
      <c r="B37" s="109" t="str">
        <f t="shared" si="51"/>
        <v>La tres</v>
      </c>
      <c r="C37" s="124">
        <f t="shared" si="52"/>
        <v>0</v>
      </c>
      <c r="D37" s="129"/>
      <c r="E37" s="130"/>
      <c r="F37" s="110"/>
      <c r="G37" s="110"/>
      <c r="AR37" s="109"/>
    </row>
    <row r="38" spans="1:44" hidden="1" x14ac:dyDescent="0.2">
      <c r="A38" s="109">
        <f t="shared" si="51"/>
        <v>40</v>
      </c>
      <c r="B38" s="109" t="str">
        <f t="shared" si="51"/>
        <v>La cuatro</v>
      </c>
      <c r="C38" s="124">
        <f t="shared" si="52"/>
        <v>0</v>
      </c>
      <c r="D38" s="129"/>
      <c r="E38" s="130"/>
      <c r="F38" s="110"/>
      <c r="G38" s="110"/>
      <c r="AR38" s="109"/>
    </row>
    <row r="39" spans="1:44" hidden="1" x14ac:dyDescent="0.2">
      <c r="A39" s="109">
        <f t="shared" si="51"/>
        <v>50</v>
      </c>
      <c r="B39" s="109" t="str">
        <f t="shared" si="51"/>
        <v>La cinco</v>
      </c>
      <c r="C39" s="124">
        <f t="shared" si="52"/>
        <v>0</v>
      </c>
      <c r="D39" s="129"/>
      <c r="E39" s="130"/>
      <c r="F39" s="110"/>
      <c r="G39" s="110"/>
      <c r="AR39" s="109"/>
    </row>
    <row r="40" spans="1:44" hidden="1" x14ac:dyDescent="0.2">
      <c r="A40" s="109">
        <f t="shared" si="51"/>
        <v>60</v>
      </c>
      <c r="B40" s="109" t="str">
        <f t="shared" si="51"/>
        <v>La seis</v>
      </c>
      <c r="C40" s="124">
        <f t="shared" si="52"/>
        <v>0</v>
      </c>
      <c r="D40" s="129"/>
      <c r="E40" s="130"/>
      <c r="F40" s="110"/>
      <c r="G40" s="110"/>
      <c r="AR40" s="109"/>
    </row>
    <row r="41" spans="1:44" hidden="1" x14ac:dyDescent="0.2">
      <c r="A41" s="109">
        <f t="shared" si="51"/>
        <v>70</v>
      </c>
      <c r="B41" s="109" t="str">
        <f t="shared" si="51"/>
        <v>La siete</v>
      </c>
      <c r="C41" s="124">
        <f t="shared" si="52"/>
        <v>0</v>
      </c>
      <c r="D41" s="129"/>
      <c r="E41" s="130"/>
      <c r="F41" s="110"/>
      <c r="G41" s="110"/>
      <c r="AR41" s="109"/>
    </row>
    <row r="42" spans="1:44" hidden="1" x14ac:dyDescent="0.2">
      <c r="A42" s="109">
        <f t="shared" si="51"/>
        <v>80</v>
      </c>
      <c r="B42" s="109" t="str">
        <f t="shared" si="51"/>
        <v>La ocho</v>
      </c>
      <c r="C42" s="124">
        <f t="shared" si="52"/>
        <v>0</v>
      </c>
      <c r="D42" s="129"/>
      <c r="E42" s="130"/>
      <c r="F42" s="110"/>
      <c r="G42" s="110"/>
      <c r="AR42" s="109"/>
    </row>
    <row r="43" spans="1:44" hidden="1" x14ac:dyDescent="0.2">
      <c r="A43" s="109">
        <f t="shared" si="51"/>
        <v>90</v>
      </c>
      <c r="B43" s="109" t="str">
        <f t="shared" si="51"/>
        <v>La nueve</v>
      </c>
      <c r="C43" s="124">
        <f t="shared" si="52"/>
        <v>0</v>
      </c>
      <c r="D43" s="129"/>
      <c r="E43" s="130"/>
      <c r="F43" s="110"/>
      <c r="G43" s="110"/>
      <c r="AR43" s="109"/>
    </row>
    <row r="44" spans="1:44" hidden="1" x14ac:dyDescent="0.2">
      <c r="A44" s="109">
        <f t="shared" si="51"/>
        <v>100</v>
      </c>
      <c r="B44" s="109" t="str">
        <f t="shared" si="51"/>
        <v>La diez</v>
      </c>
      <c r="C44" s="124">
        <f t="shared" si="52"/>
        <v>0</v>
      </c>
      <c r="D44" s="129"/>
      <c r="E44" s="130"/>
      <c r="F44" s="110"/>
      <c r="G44" s="110"/>
      <c r="AR44" s="109"/>
    </row>
    <row r="45" spans="1:44" hidden="1" x14ac:dyDescent="0.2">
      <c r="A45" s="109">
        <f t="shared" si="51"/>
        <v>0</v>
      </c>
      <c r="B45" s="109">
        <f t="shared" si="51"/>
        <v>0</v>
      </c>
      <c r="C45" s="124">
        <f t="shared" si="52"/>
        <v>0</v>
      </c>
      <c r="D45" s="129"/>
      <c r="E45" s="130"/>
      <c r="F45" s="110"/>
      <c r="G45" s="110"/>
      <c r="AR45" s="109"/>
    </row>
    <row r="46" spans="1:44" hidden="1" x14ac:dyDescent="0.2">
      <c r="A46" s="109">
        <f t="shared" si="51"/>
        <v>0</v>
      </c>
      <c r="B46" s="109">
        <f t="shared" si="51"/>
        <v>0</v>
      </c>
      <c r="C46" s="124">
        <f t="shared" si="52"/>
        <v>0</v>
      </c>
      <c r="D46" s="129"/>
      <c r="E46" s="130"/>
      <c r="F46" s="110"/>
      <c r="G46" s="110"/>
      <c r="AR46" s="109"/>
    </row>
    <row r="47" spans="1:44" hidden="1" x14ac:dyDescent="0.2">
      <c r="A47" s="109">
        <f t="shared" si="51"/>
        <v>0</v>
      </c>
      <c r="B47" s="109">
        <f t="shared" si="51"/>
        <v>0</v>
      </c>
      <c r="C47" s="124">
        <f t="shared" si="52"/>
        <v>0</v>
      </c>
      <c r="D47" s="129"/>
      <c r="E47" s="130"/>
      <c r="F47" s="110"/>
      <c r="G47" s="110"/>
      <c r="AR47" s="109"/>
    </row>
    <row r="48" spans="1:44" hidden="1" x14ac:dyDescent="0.2">
      <c r="A48" s="109">
        <f t="shared" si="51"/>
        <v>0</v>
      </c>
      <c r="B48" s="109">
        <f t="shared" si="51"/>
        <v>0</v>
      </c>
      <c r="C48" s="124">
        <f t="shared" si="52"/>
        <v>0</v>
      </c>
      <c r="D48" s="129"/>
      <c r="E48" s="130"/>
      <c r="F48" s="110"/>
      <c r="G48" s="110"/>
      <c r="AR48" s="109"/>
    </row>
    <row r="49" spans="1:44" hidden="1" x14ac:dyDescent="0.2">
      <c r="A49" s="109" t="e">
        <f>IF($E$35=#REF!,+#REF!,+A50)</f>
        <v>#REF!</v>
      </c>
      <c r="B49" s="109" t="e">
        <f>IF($E$35=#REF!,+#REF!,+B50)</f>
        <v>#REF!</v>
      </c>
      <c r="C49" s="124" t="e">
        <f>IF($E$35=#REF!,+#REF!*$J$4,+C50)</f>
        <v>#REF!</v>
      </c>
      <c r="D49" s="129"/>
      <c r="E49" s="130"/>
      <c r="F49" s="110"/>
      <c r="G49" s="110"/>
      <c r="AR49" s="109"/>
    </row>
    <row r="50" spans="1:44" hidden="1" x14ac:dyDescent="0.2">
      <c r="A50" s="109">
        <f t="shared" ref="A50:B55" si="53">IF($E$35=$K23,+A23,+A51)</f>
        <v>0</v>
      </c>
      <c r="B50" s="109">
        <f t="shared" si="53"/>
        <v>0</v>
      </c>
      <c r="C50" s="124">
        <f t="shared" ref="C50:C55" si="54">IF($E$35=$K23,+G23*$J$4,+C51)</f>
        <v>0</v>
      </c>
      <c r="D50" s="129"/>
      <c r="E50" s="130"/>
      <c r="F50" s="110"/>
      <c r="G50" s="110"/>
      <c r="AR50" s="109"/>
    </row>
    <row r="51" spans="1:44" hidden="1" x14ac:dyDescent="0.2">
      <c r="A51" s="109">
        <f t="shared" si="53"/>
        <v>0</v>
      </c>
      <c r="B51" s="109">
        <f t="shared" si="53"/>
        <v>0</v>
      </c>
      <c r="C51" s="124">
        <f t="shared" si="54"/>
        <v>0</v>
      </c>
      <c r="D51" s="129"/>
      <c r="E51" s="130"/>
      <c r="F51" s="110"/>
      <c r="G51" s="110"/>
      <c r="AR51" s="109"/>
    </row>
    <row r="52" spans="1:44" hidden="1" x14ac:dyDescent="0.2">
      <c r="A52" s="109">
        <f t="shared" si="53"/>
        <v>0</v>
      </c>
      <c r="B52" s="109">
        <f t="shared" si="53"/>
        <v>0</v>
      </c>
      <c r="C52" s="124">
        <f t="shared" si="54"/>
        <v>0</v>
      </c>
      <c r="D52" s="129"/>
      <c r="E52" s="130"/>
      <c r="F52" s="110"/>
      <c r="G52" s="110"/>
      <c r="AR52" s="109"/>
    </row>
    <row r="53" spans="1:44" hidden="1" x14ac:dyDescent="0.2">
      <c r="A53" s="109">
        <f t="shared" si="53"/>
        <v>0</v>
      </c>
      <c r="B53" s="109">
        <f t="shared" si="53"/>
        <v>0</v>
      </c>
      <c r="C53" s="124">
        <f t="shared" si="54"/>
        <v>0</v>
      </c>
      <c r="D53" s="129"/>
      <c r="E53" s="130"/>
      <c r="F53" s="110"/>
      <c r="G53" s="110"/>
      <c r="AR53" s="109"/>
    </row>
    <row r="54" spans="1:44" hidden="1" x14ac:dyDescent="0.2">
      <c r="A54" s="109">
        <f t="shared" si="53"/>
        <v>0</v>
      </c>
      <c r="B54" s="109">
        <f t="shared" si="53"/>
        <v>0</v>
      </c>
      <c r="C54" s="124">
        <f t="shared" si="54"/>
        <v>0</v>
      </c>
      <c r="D54" s="129"/>
      <c r="E54" s="130"/>
      <c r="F54" s="110"/>
      <c r="G54" s="110"/>
      <c r="AR54" s="109"/>
    </row>
    <row r="55" spans="1:44" hidden="1" x14ac:dyDescent="0.2">
      <c r="A55" s="109">
        <f t="shared" si="53"/>
        <v>0</v>
      </c>
      <c r="B55" s="109">
        <f t="shared" si="53"/>
        <v>0</v>
      </c>
      <c r="C55" s="124">
        <f t="shared" si="54"/>
        <v>0</v>
      </c>
      <c r="D55" s="129"/>
      <c r="E55" s="130"/>
      <c r="F55" s="110"/>
      <c r="G55" s="110"/>
      <c r="AR55" s="109"/>
    </row>
    <row r="56" spans="1:44" hidden="1" x14ac:dyDescent="0.2">
      <c r="D56" s="129">
        <v>0</v>
      </c>
      <c r="E56" s="130">
        <v>0</v>
      </c>
      <c r="F56" s="110"/>
      <c r="G56" s="110"/>
      <c r="AR56" s="109"/>
    </row>
    <row r="57" spans="1:44" x14ac:dyDescent="0.2">
      <c r="A57" s="111">
        <f>A32+1</f>
        <v>2021</v>
      </c>
      <c r="B57" s="112"/>
      <c r="C57" s="112"/>
      <c r="D57" s="112"/>
      <c r="E57" s="112"/>
      <c r="F57" s="113"/>
      <c r="G57" s="114"/>
      <c r="AR57" s="109"/>
    </row>
    <row r="58" spans="1:44" x14ac:dyDescent="0.2">
      <c r="A58" s="67" t="s">
        <v>118</v>
      </c>
      <c r="B58" s="63"/>
      <c r="C58" s="115" t="s">
        <v>76</v>
      </c>
      <c r="D58" s="116"/>
      <c r="E58" s="117" t="s">
        <v>119</v>
      </c>
      <c r="F58" s="118" t="s">
        <v>120</v>
      </c>
      <c r="G58" s="119"/>
      <c r="AR58" s="109"/>
    </row>
    <row r="59" spans="1:44" x14ac:dyDescent="0.2">
      <c r="A59" s="61" t="s">
        <v>82</v>
      </c>
      <c r="B59" s="120" t="s">
        <v>121</v>
      </c>
      <c r="C59" s="121" t="s">
        <v>93</v>
      </c>
      <c r="D59" s="120" t="s">
        <v>122</v>
      </c>
      <c r="E59" s="122" t="s">
        <v>89</v>
      </c>
      <c r="F59" s="118" t="s">
        <v>123</v>
      </c>
      <c r="G59" s="119"/>
    </row>
    <row r="60" spans="1:44" x14ac:dyDescent="0.2">
      <c r="A60" s="123">
        <f t="shared" ref="A60:A73" si="55">IF($E$60=U9,+A9,+A61)</f>
        <v>10</v>
      </c>
      <c r="B60" s="124" t="str">
        <f t="shared" ref="B60:B73" si="56">IF($E$60=U9,+B9,+B61)</f>
        <v>La uno</v>
      </c>
      <c r="C60" s="125">
        <f t="shared" ref="C60:C73" si="57">IF($E$60=U9,+T9*$S$4,+C61)</f>
        <v>273000</v>
      </c>
      <c r="D60" s="124">
        <f>U4</f>
        <v>2</v>
      </c>
      <c r="E60" s="126">
        <f>MAXA(U$9:U$28)</f>
        <v>54.352810256410258</v>
      </c>
      <c r="F60" s="127">
        <f>W29</f>
        <v>0</v>
      </c>
      <c r="G60" s="128"/>
    </row>
    <row r="61" spans="1:44" hidden="1" x14ac:dyDescent="0.2">
      <c r="A61" s="131" t="e">
        <f t="shared" si="55"/>
        <v>#REF!</v>
      </c>
      <c r="B61" s="131" t="e">
        <f t="shared" si="56"/>
        <v>#REF!</v>
      </c>
      <c r="C61" s="124" t="e">
        <f t="shared" si="57"/>
        <v>#REF!</v>
      </c>
      <c r="D61" s="129"/>
      <c r="E61" s="130"/>
      <c r="F61" s="110"/>
      <c r="G61" s="110"/>
    </row>
    <row r="62" spans="1:44" hidden="1" x14ac:dyDescent="0.2">
      <c r="A62" s="131" t="e">
        <f t="shared" si="55"/>
        <v>#REF!</v>
      </c>
      <c r="B62" s="131" t="e">
        <f t="shared" si="56"/>
        <v>#REF!</v>
      </c>
      <c r="C62" s="124" t="e">
        <f t="shared" si="57"/>
        <v>#REF!</v>
      </c>
      <c r="D62" s="129"/>
      <c r="E62" s="130"/>
      <c r="F62" s="110"/>
      <c r="G62" s="110"/>
    </row>
    <row r="63" spans="1:44" hidden="1" x14ac:dyDescent="0.2">
      <c r="A63" s="131" t="e">
        <f t="shared" si="55"/>
        <v>#REF!</v>
      </c>
      <c r="B63" s="131" t="e">
        <f t="shared" si="56"/>
        <v>#REF!</v>
      </c>
      <c r="C63" s="124" t="e">
        <f t="shared" si="57"/>
        <v>#REF!</v>
      </c>
      <c r="D63" s="129"/>
      <c r="E63" s="130"/>
      <c r="F63" s="110"/>
      <c r="G63" s="110"/>
    </row>
    <row r="64" spans="1:44" hidden="1" x14ac:dyDescent="0.2">
      <c r="A64" s="131" t="e">
        <f t="shared" si="55"/>
        <v>#REF!</v>
      </c>
      <c r="B64" s="131" t="e">
        <f t="shared" si="56"/>
        <v>#REF!</v>
      </c>
      <c r="C64" s="124" t="e">
        <f t="shared" si="57"/>
        <v>#REF!</v>
      </c>
      <c r="D64" s="129"/>
      <c r="E64" s="130"/>
      <c r="F64" s="110"/>
      <c r="G64" s="110"/>
    </row>
    <row r="65" spans="1:7" hidden="1" x14ac:dyDescent="0.2">
      <c r="A65" s="131" t="e">
        <f t="shared" si="55"/>
        <v>#REF!</v>
      </c>
      <c r="B65" s="131" t="e">
        <f t="shared" si="56"/>
        <v>#REF!</v>
      </c>
      <c r="C65" s="124" t="e">
        <f t="shared" si="57"/>
        <v>#REF!</v>
      </c>
      <c r="D65" s="129"/>
      <c r="E65" s="130"/>
      <c r="F65" s="110"/>
      <c r="G65" s="110"/>
    </row>
    <row r="66" spans="1:7" hidden="1" x14ac:dyDescent="0.2">
      <c r="A66" s="131" t="e">
        <f t="shared" si="55"/>
        <v>#REF!</v>
      </c>
      <c r="B66" s="131" t="e">
        <f t="shared" si="56"/>
        <v>#REF!</v>
      </c>
      <c r="C66" s="124" t="e">
        <f t="shared" si="57"/>
        <v>#REF!</v>
      </c>
      <c r="D66" s="129"/>
      <c r="E66" s="130"/>
      <c r="F66" s="110"/>
      <c r="G66" s="110"/>
    </row>
    <row r="67" spans="1:7" hidden="1" x14ac:dyDescent="0.2">
      <c r="A67" s="131" t="e">
        <f t="shared" si="55"/>
        <v>#REF!</v>
      </c>
      <c r="B67" s="131" t="e">
        <f t="shared" si="56"/>
        <v>#REF!</v>
      </c>
      <c r="C67" s="124" t="e">
        <f t="shared" si="57"/>
        <v>#REF!</v>
      </c>
      <c r="D67" s="129"/>
      <c r="E67" s="130"/>
      <c r="F67" s="110"/>
      <c r="G67" s="110"/>
    </row>
    <row r="68" spans="1:7" hidden="1" x14ac:dyDescent="0.2">
      <c r="A68" s="131" t="e">
        <f t="shared" si="55"/>
        <v>#REF!</v>
      </c>
      <c r="B68" s="131" t="e">
        <f t="shared" si="56"/>
        <v>#REF!</v>
      </c>
      <c r="C68" s="124" t="e">
        <f t="shared" si="57"/>
        <v>#REF!</v>
      </c>
      <c r="D68" s="129"/>
      <c r="E68" s="130"/>
      <c r="F68" s="110"/>
      <c r="G68" s="110"/>
    </row>
    <row r="69" spans="1:7" hidden="1" x14ac:dyDescent="0.2">
      <c r="A69" s="131" t="e">
        <f t="shared" si="55"/>
        <v>#REF!</v>
      </c>
      <c r="B69" s="131" t="e">
        <f t="shared" si="56"/>
        <v>#REF!</v>
      </c>
      <c r="C69" s="124" t="e">
        <f t="shared" si="57"/>
        <v>#REF!</v>
      </c>
      <c r="D69" s="129"/>
      <c r="E69" s="130"/>
      <c r="F69" s="110"/>
      <c r="G69" s="110"/>
    </row>
    <row r="70" spans="1:7" hidden="1" x14ac:dyDescent="0.2">
      <c r="A70" s="131" t="e">
        <f t="shared" si="55"/>
        <v>#REF!</v>
      </c>
      <c r="B70" s="131" t="e">
        <f t="shared" si="56"/>
        <v>#REF!</v>
      </c>
      <c r="C70" s="124" t="e">
        <f t="shared" si="57"/>
        <v>#REF!</v>
      </c>
      <c r="D70" s="129"/>
      <c r="E70" s="130"/>
      <c r="F70" s="110"/>
      <c r="G70" s="110"/>
    </row>
    <row r="71" spans="1:7" hidden="1" x14ac:dyDescent="0.2">
      <c r="A71" s="131" t="e">
        <f t="shared" si="55"/>
        <v>#REF!</v>
      </c>
      <c r="B71" s="131" t="e">
        <f t="shared" si="56"/>
        <v>#REF!</v>
      </c>
      <c r="C71" s="124" t="e">
        <f t="shared" si="57"/>
        <v>#REF!</v>
      </c>
      <c r="D71" s="129"/>
      <c r="E71" s="130"/>
      <c r="F71" s="110"/>
      <c r="G71" s="110"/>
    </row>
    <row r="72" spans="1:7" hidden="1" x14ac:dyDescent="0.2">
      <c r="A72" s="131" t="e">
        <f t="shared" si="55"/>
        <v>#REF!</v>
      </c>
      <c r="B72" s="131" t="e">
        <f t="shared" si="56"/>
        <v>#REF!</v>
      </c>
      <c r="C72" s="124" t="e">
        <f t="shared" si="57"/>
        <v>#REF!</v>
      </c>
      <c r="D72" s="129"/>
      <c r="E72" s="130"/>
      <c r="F72" s="110"/>
      <c r="G72" s="110"/>
    </row>
    <row r="73" spans="1:7" hidden="1" x14ac:dyDescent="0.2">
      <c r="A73" s="131" t="e">
        <f t="shared" si="55"/>
        <v>#REF!</v>
      </c>
      <c r="B73" s="131" t="e">
        <f t="shared" si="56"/>
        <v>#REF!</v>
      </c>
      <c r="C73" s="124" t="e">
        <f t="shared" si="57"/>
        <v>#REF!</v>
      </c>
      <c r="D73" s="129"/>
      <c r="E73" s="130"/>
      <c r="F73" s="110"/>
      <c r="G73" s="110"/>
    </row>
    <row r="74" spans="1:7" hidden="1" x14ac:dyDescent="0.2">
      <c r="A74" s="131" t="e">
        <f>IF($E$60=#REF!,+#REF!,+A75)</f>
        <v>#REF!</v>
      </c>
      <c r="B74" s="131" t="e">
        <f>IF($E$60=#REF!,+#REF!,+B75)</f>
        <v>#REF!</v>
      </c>
      <c r="C74" s="124" t="e">
        <f>IF($E$60=#REF!,+#REF!*$S$4,+C75)</f>
        <v>#REF!</v>
      </c>
      <c r="D74" s="129"/>
      <c r="E74" s="130"/>
      <c r="F74" s="110"/>
      <c r="G74" s="110"/>
    </row>
    <row r="75" spans="1:7" hidden="1" x14ac:dyDescent="0.2">
      <c r="A75" s="131" t="e">
        <f t="shared" ref="A75:A81" si="58">IF($E$60=U23,+A23,+A76)</f>
        <v>#REF!</v>
      </c>
      <c r="B75" s="131" t="e">
        <f t="shared" ref="B75:B81" si="59">IF($E$60=U23,+B23,+B76)</f>
        <v>#REF!</v>
      </c>
      <c r="C75" s="124">
        <f t="shared" ref="C75:C83" si="60">IF($E$60=U23,+T23*$S$4,+C76)</f>
        <v>0</v>
      </c>
      <c r="D75" s="129"/>
      <c r="E75" s="130"/>
      <c r="F75" s="110"/>
      <c r="G75" s="110"/>
    </row>
    <row r="76" spans="1:7" hidden="1" x14ac:dyDescent="0.2">
      <c r="A76" s="131" t="e">
        <f t="shared" si="58"/>
        <v>#REF!</v>
      </c>
      <c r="B76" s="131" t="e">
        <f t="shared" si="59"/>
        <v>#REF!</v>
      </c>
      <c r="C76" s="124">
        <f t="shared" si="60"/>
        <v>0</v>
      </c>
      <c r="D76" s="129"/>
      <c r="E76" s="130"/>
      <c r="F76" s="110"/>
      <c r="G76" s="110"/>
    </row>
    <row r="77" spans="1:7" hidden="1" x14ac:dyDescent="0.2">
      <c r="A77" s="131" t="e">
        <f t="shared" si="58"/>
        <v>#REF!</v>
      </c>
      <c r="B77" s="131" t="e">
        <f t="shared" si="59"/>
        <v>#REF!</v>
      </c>
      <c r="C77" s="124">
        <f t="shared" si="60"/>
        <v>0</v>
      </c>
      <c r="D77" s="129"/>
      <c r="E77" s="130"/>
      <c r="F77" s="110"/>
      <c r="G77" s="110"/>
    </row>
    <row r="78" spans="1:7" hidden="1" x14ac:dyDescent="0.2">
      <c r="A78" s="131" t="e">
        <f t="shared" si="58"/>
        <v>#REF!</v>
      </c>
      <c r="B78" s="131" t="e">
        <f t="shared" si="59"/>
        <v>#REF!</v>
      </c>
      <c r="C78" s="124">
        <f t="shared" si="60"/>
        <v>0</v>
      </c>
      <c r="D78" s="129"/>
      <c r="E78" s="130"/>
      <c r="F78" s="110"/>
      <c r="G78" s="110"/>
    </row>
    <row r="79" spans="1:7" hidden="1" x14ac:dyDescent="0.2">
      <c r="A79" s="131" t="e">
        <f t="shared" si="58"/>
        <v>#REF!</v>
      </c>
      <c r="B79" s="131" t="e">
        <f t="shared" si="59"/>
        <v>#REF!</v>
      </c>
      <c r="C79" s="124">
        <f t="shared" si="60"/>
        <v>0</v>
      </c>
      <c r="D79" s="129"/>
      <c r="E79" s="130"/>
      <c r="F79" s="110"/>
      <c r="G79" s="110"/>
    </row>
    <row r="80" spans="1:7" hidden="1" x14ac:dyDescent="0.2">
      <c r="A80" s="131" t="e">
        <f t="shared" si="58"/>
        <v>#REF!</v>
      </c>
      <c r="B80" s="131" t="e">
        <f t="shared" si="59"/>
        <v>#REF!</v>
      </c>
      <c r="C80" s="124">
        <f t="shared" si="60"/>
        <v>0</v>
      </c>
      <c r="D80" s="129"/>
      <c r="E80" s="130"/>
      <c r="F80" s="110"/>
      <c r="G80" s="110"/>
    </row>
    <row r="81" spans="1:7" hidden="1" x14ac:dyDescent="0.2">
      <c r="A81" s="131" t="e">
        <f t="shared" si="58"/>
        <v>#REF!</v>
      </c>
      <c r="B81" s="131" t="e">
        <f t="shared" si="59"/>
        <v>#REF!</v>
      </c>
      <c r="C81" s="124">
        <f t="shared" si="60"/>
        <v>0</v>
      </c>
      <c r="D81" s="129"/>
      <c r="E81" s="130"/>
      <c r="F81" s="110"/>
      <c r="G81" s="110"/>
    </row>
    <row r="82" spans="1:7" hidden="1" x14ac:dyDescent="0.2">
      <c r="A82" s="131" t="e">
        <f>IF($E$60=#REF!,+#REF!,+A83)</f>
        <v>#REF!</v>
      </c>
      <c r="B82" s="131" t="e">
        <f>IF($E$60=#REF!,+#REF!,+B83)</f>
        <v>#REF!</v>
      </c>
      <c r="C82" s="124">
        <f t="shared" si="60"/>
        <v>0</v>
      </c>
      <c r="D82" s="129"/>
      <c r="E82" s="130"/>
      <c r="F82" s="110"/>
      <c r="G82" s="110"/>
    </row>
    <row r="83" spans="1:7" hidden="1" x14ac:dyDescent="0.2">
      <c r="A83" s="131" t="e">
        <f>IF($E$60=#REF!,+#REF!,+A84)</f>
        <v>#REF!</v>
      </c>
      <c r="B83" s="131" t="e">
        <f>IF($E$60=#REF!,+#REF!,+B84)</f>
        <v>#REF!</v>
      </c>
      <c r="C83" s="124">
        <f t="shared" si="60"/>
        <v>0</v>
      </c>
      <c r="D83" s="129"/>
      <c r="E83" s="130"/>
      <c r="F83" s="110"/>
      <c r="G83" s="110"/>
    </row>
    <row r="84" spans="1:7" hidden="1" x14ac:dyDescent="0.2">
      <c r="D84" s="129"/>
      <c r="E84" s="130"/>
      <c r="F84" s="110"/>
      <c r="G84" s="110"/>
    </row>
    <row r="85" spans="1:7" hidden="1" x14ac:dyDescent="0.2">
      <c r="D85" s="129"/>
      <c r="E85" s="130"/>
      <c r="F85" s="110"/>
      <c r="G85" s="110"/>
    </row>
    <row r="86" spans="1:7" x14ac:dyDescent="0.2">
      <c r="A86" s="111">
        <f>A57+1</f>
        <v>2022</v>
      </c>
      <c r="B86" s="112"/>
      <c r="C86" s="112"/>
      <c r="D86" s="112"/>
      <c r="E86" s="112"/>
      <c r="F86" s="113"/>
      <c r="G86" s="114"/>
    </row>
    <row r="87" spans="1:7" x14ac:dyDescent="0.2">
      <c r="A87" s="67" t="s">
        <v>118</v>
      </c>
      <c r="B87" s="63"/>
      <c r="C87" s="115" t="s">
        <v>76</v>
      </c>
      <c r="D87" s="116"/>
      <c r="E87" s="117" t="s">
        <v>119</v>
      </c>
      <c r="F87" s="118" t="s">
        <v>120</v>
      </c>
      <c r="G87" s="119"/>
    </row>
    <row r="88" spans="1:7" x14ac:dyDescent="0.2">
      <c r="A88" s="61" t="s">
        <v>82</v>
      </c>
      <c r="B88" s="120" t="s">
        <v>121</v>
      </c>
      <c r="C88" s="121" t="s">
        <v>93</v>
      </c>
      <c r="D88" s="120" t="s">
        <v>122</v>
      </c>
      <c r="E88" s="122" t="s">
        <v>89</v>
      </c>
      <c r="F88" s="118" t="s">
        <v>123</v>
      </c>
      <c r="G88" s="119"/>
    </row>
    <row r="89" spans="1:7" x14ac:dyDescent="0.2">
      <c r="A89" s="123">
        <f t="shared" ref="A89:B102" si="61">IF($E$89=$AE9,+A9,A90)</f>
        <v>10</v>
      </c>
      <c r="B89" s="124" t="str">
        <f t="shared" si="61"/>
        <v>La uno</v>
      </c>
      <c r="C89" s="125">
        <f t="shared" ref="C89:C102" si="62">IF($E$89=$AE9,+AD9*$AC$4,C90)</f>
        <v>273000</v>
      </c>
      <c r="D89" s="124">
        <f>AE4</f>
        <v>2</v>
      </c>
      <c r="E89" s="126">
        <f>MAXA(AE9:AE28)</f>
        <v>130.97948329670331</v>
      </c>
      <c r="F89" s="127">
        <f>AG29</f>
        <v>196</v>
      </c>
      <c r="G89" s="128"/>
    </row>
    <row r="90" spans="1:7" hidden="1" x14ac:dyDescent="0.2">
      <c r="A90" s="131" t="e">
        <f t="shared" si="61"/>
        <v>#REF!</v>
      </c>
      <c r="B90" s="131" t="e">
        <f t="shared" si="61"/>
        <v>#REF!</v>
      </c>
      <c r="C90" s="124" t="e">
        <f t="shared" si="62"/>
        <v>#REF!</v>
      </c>
      <c r="D90" s="129"/>
      <c r="E90" s="130"/>
      <c r="F90" s="110"/>
      <c r="G90" s="110"/>
    </row>
    <row r="91" spans="1:7" hidden="1" x14ac:dyDescent="0.2">
      <c r="A91" s="131" t="e">
        <f t="shared" si="61"/>
        <v>#REF!</v>
      </c>
      <c r="B91" s="131" t="e">
        <f t="shared" si="61"/>
        <v>#REF!</v>
      </c>
      <c r="C91" s="124" t="e">
        <f t="shared" si="62"/>
        <v>#REF!</v>
      </c>
      <c r="D91" s="129"/>
      <c r="E91" s="130"/>
      <c r="F91" s="110"/>
      <c r="G91" s="110"/>
    </row>
    <row r="92" spans="1:7" hidden="1" x14ac:dyDescent="0.2">
      <c r="A92" s="131" t="e">
        <f t="shared" si="61"/>
        <v>#REF!</v>
      </c>
      <c r="B92" s="131" t="e">
        <f t="shared" si="61"/>
        <v>#REF!</v>
      </c>
      <c r="C92" s="124" t="e">
        <f t="shared" si="62"/>
        <v>#REF!</v>
      </c>
      <c r="D92" s="129"/>
      <c r="E92" s="130"/>
      <c r="F92" s="110"/>
      <c r="G92" s="110"/>
    </row>
    <row r="93" spans="1:7" hidden="1" x14ac:dyDescent="0.2">
      <c r="A93" s="131" t="e">
        <f t="shared" si="61"/>
        <v>#REF!</v>
      </c>
      <c r="B93" s="131" t="e">
        <f t="shared" si="61"/>
        <v>#REF!</v>
      </c>
      <c r="C93" s="124" t="e">
        <f t="shared" si="62"/>
        <v>#REF!</v>
      </c>
      <c r="D93" s="129"/>
      <c r="E93" s="130"/>
      <c r="F93" s="110"/>
      <c r="G93" s="110"/>
    </row>
    <row r="94" spans="1:7" hidden="1" x14ac:dyDescent="0.2">
      <c r="A94" s="131" t="e">
        <f t="shared" si="61"/>
        <v>#REF!</v>
      </c>
      <c r="B94" s="131" t="e">
        <f t="shared" si="61"/>
        <v>#REF!</v>
      </c>
      <c r="C94" s="124" t="e">
        <f t="shared" si="62"/>
        <v>#REF!</v>
      </c>
      <c r="D94" s="129"/>
      <c r="E94" s="130"/>
      <c r="F94" s="110"/>
      <c r="G94" s="110"/>
    </row>
    <row r="95" spans="1:7" hidden="1" x14ac:dyDescent="0.2">
      <c r="A95" s="131" t="e">
        <f t="shared" si="61"/>
        <v>#REF!</v>
      </c>
      <c r="B95" s="131" t="e">
        <f t="shared" si="61"/>
        <v>#REF!</v>
      </c>
      <c r="C95" s="124" t="e">
        <f t="shared" si="62"/>
        <v>#REF!</v>
      </c>
      <c r="D95" s="129"/>
      <c r="E95" s="130"/>
      <c r="F95" s="110"/>
      <c r="G95" s="110"/>
    </row>
    <row r="96" spans="1:7" hidden="1" x14ac:dyDescent="0.2">
      <c r="A96" s="131" t="e">
        <f t="shared" si="61"/>
        <v>#REF!</v>
      </c>
      <c r="B96" s="131" t="e">
        <f t="shared" si="61"/>
        <v>#REF!</v>
      </c>
      <c r="C96" s="124" t="e">
        <f t="shared" si="62"/>
        <v>#REF!</v>
      </c>
      <c r="D96" s="129"/>
      <c r="E96" s="130"/>
      <c r="F96" s="110"/>
      <c r="G96" s="110"/>
    </row>
    <row r="97" spans="1:7" hidden="1" x14ac:dyDescent="0.2">
      <c r="A97" s="131" t="e">
        <f t="shared" si="61"/>
        <v>#REF!</v>
      </c>
      <c r="B97" s="131" t="e">
        <f t="shared" si="61"/>
        <v>#REF!</v>
      </c>
      <c r="C97" s="124" t="e">
        <f t="shared" si="62"/>
        <v>#REF!</v>
      </c>
      <c r="D97" s="129"/>
      <c r="E97" s="130"/>
      <c r="F97" s="110"/>
      <c r="G97" s="110"/>
    </row>
    <row r="98" spans="1:7" hidden="1" x14ac:dyDescent="0.2">
      <c r="A98" s="131" t="e">
        <f t="shared" si="61"/>
        <v>#REF!</v>
      </c>
      <c r="B98" s="131" t="e">
        <f t="shared" si="61"/>
        <v>#REF!</v>
      </c>
      <c r="C98" s="124" t="e">
        <f t="shared" si="62"/>
        <v>#REF!</v>
      </c>
      <c r="D98" s="129"/>
      <c r="E98" s="130"/>
      <c r="F98" s="110"/>
      <c r="G98" s="110"/>
    </row>
    <row r="99" spans="1:7" hidden="1" x14ac:dyDescent="0.2">
      <c r="A99" s="131" t="e">
        <f t="shared" si="61"/>
        <v>#REF!</v>
      </c>
      <c r="B99" s="131" t="e">
        <f t="shared" si="61"/>
        <v>#REF!</v>
      </c>
      <c r="C99" s="124" t="e">
        <f t="shared" si="62"/>
        <v>#REF!</v>
      </c>
      <c r="D99" s="129"/>
      <c r="E99" s="130"/>
      <c r="F99" s="110"/>
      <c r="G99" s="110"/>
    </row>
    <row r="100" spans="1:7" hidden="1" x14ac:dyDescent="0.2">
      <c r="A100" s="131" t="e">
        <f t="shared" si="61"/>
        <v>#REF!</v>
      </c>
      <c r="B100" s="131" t="e">
        <f t="shared" si="61"/>
        <v>#REF!</v>
      </c>
      <c r="C100" s="124" t="e">
        <f t="shared" si="62"/>
        <v>#REF!</v>
      </c>
      <c r="D100" s="129"/>
      <c r="E100" s="130"/>
      <c r="F100" s="110"/>
      <c r="G100" s="110"/>
    </row>
    <row r="101" spans="1:7" hidden="1" x14ac:dyDescent="0.2">
      <c r="A101" s="131" t="e">
        <f t="shared" si="61"/>
        <v>#REF!</v>
      </c>
      <c r="B101" s="131" t="e">
        <f t="shared" si="61"/>
        <v>#REF!</v>
      </c>
      <c r="C101" s="124" t="e">
        <f t="shared" si="62"/>
        <v>#REF!</v>
      </c>
      <c r="D101" s="129"/>
      <c r="E101" s="130"/>
      <c r="F101" s="110"/>
      <c r="G101" s="110"/>
    </row>
    <row r="102" spans="1:7" hidden="1" x14ac:dyDescent="0.2">
      <c r="A102" s="131" t="e">
        <f t="shared" si="61"/>
        <v>#REF!</v>
      </c>
      <c r="B102" s="131" t="e">
        <f t="shared" si="61"/>
        <v>#REF!</v>
      </c>
      <c r="C102" s="124" t="e">
        <f t="shared" si="62"/>
        <v>#REF!</v>
      </c>
      <c r="D102" s="129"/>
      <c r="E102" s="130"/>
      <c r="F102" s="110"/>
      <c r="G102" s="110"/>
    </row>
    <row r="103" spans="1:7" hidden="1" x14ac:dyDescent="0.2">
      <c r="A103" s="131" t="e">
        <f>IF($E$89=#REF!,+#REF!,A104)</f>
        <v>#REF!</v>
      </c>
      <c r="B103" s="131" t="e">
        <f>IF($E$89=#REF!,+#REF!,B104)</f>
        <v>#REF!</v>
      </c>
      <c r="C103" s="124" t="e">
        <f>IF($E$89=#REF!,+#REF!*$AC$4,C104)</f>
        <v>#REF!</v>
      </c>
      <c r="D103" s="129"/>
      <c r="E103" s="130"/>
      <c r="F103" s="110"/>
      <c r="G103" s="110"/>
    </row>
    <row r="104" spans="1:7" hidden="1" x14ac:dyDescent="0.2">
      <c r="A104" s="131" t="e">
        <f t="shared" ref="A104:B108" si="63">IF($E$89=$AE23,+A23,A105)</f>
        <v>#REF!</v>
      </c>
      <c r="B104" s="131" t="e">
        <f t="shared" si="63"/>
        <v>#REF!</v>
      </c>
      <c r="C104" s="124">
        <f t="shared" ref="C104:C109" si="64">IF($E$89=$AE23,+AD23*$AC$4,C105)</f>
        <v>0</v>
      </c>
      <c r="D104" s="129"/>
      <c r="E104" s="130"/>
      <c r="F104" s="110"/>
      <c r="G104" s="110"/>
    </row>
    <row r="105" spans="1:7" hidden="1" x14ac:dyDescent="0.2">
      <c r="A105" s="131" t="e">
        <f t="shared" si="63"/>
        <v>#REF!</v>
      </c>
      <c r="B105" s="131" t="e">
        <f t="shared" si="63"/>
        <v>#REF!</v>
      </c>
      <c r="C105" s="124">
        <f t="shared" si="64"/>
        <v>0</v>
      </c>
      <c r="D105" s="129"/>
      <c r="E105" s="130"/>
      <c r="F105" s="110"/>
      <c r="G105" s="110"/>
    </row>
    <row r="106" spans="1:7" hidden="1" x14ac:dyDescent="0.2">
      <c r="A106" s="131" t="e">
        <f t="shared" si="63"/>
        <v>#REF!</v>
      </c>
      <c r="B106" s="131" t="e">
        <f t="shared" si="63"/>
        <v>#REF!</v>
      </c>
      <c r="C106" s="124">
        <f t="shared" si="64"/>
        <v>0</v>
      </c>
      <c r="D106" s="129"/>
      <c r="E106" s="130"/>
      <c r="F106" s="110"/>
      <c r="G106" s="110"/>
    </row>
    <row r="107" spans="1:7" hidden="1" x14ac:dyDescent="0.2">
      <c r="A107" s="131" t="e">
        <f t="shared" si="63"/>
        <v>#REF!</v>
      </c>
      <c r="B107" s="131" t="e">
        <f t="shared" si="63"/>
        <v>#REF!</v>
      </c>
      <c r="C107" s="124">
        <f t="shared" si="64"/>
        <v>0</v>
      </c>
      <c r="D107" s="129"/>
      <c r="E107" s="130"/>
      <c r="F107" s="110"/>
      <c r="G107" s="110"/>
    </row>
    <row r="108" spans="1:7" hidden="1" x14ac:dyDescent="0.2">
      <c r="A108" s="131" t="e">
        <f t="shared" si="63"/>
        <v>#REF!</v>
      </c>
      <c r="B108" s="131" t="e">
        <f t="shared" si="63"/>
        <v>#REF!</v>
      </c>
      <c r="C108" s="124">
        <f t="shared" si="64"/>
        <v>0</v>
      </c>
      <c r="D108" s="129"/>
      <c r="E108" s="130"/>
      <c r="F108" s="110"/>
      <c r="G108" s="110"/>
    </row>
    <row r="109" spans="1:7" hidden="1" x14ac:dyDescent="0.2">
      <c r="A109" s="131" t="e">
        <f>IF($E$89=$AE28,+A28,#REF!)</f>
        <v>#REF!</v>
      </c>
      <c r="B109" s="131" t="e">
        <f>IF($E$89=$AE28,+B28,#REF!)</f>
        <v>#REF!</v>
      </c>
      <c r="C109" s="124">
        <f t="shared" si="64"/>
        <v>0</v>
      </c>
      <c r="D109" s="129"/>
      <c r="E109" s="130"/>
      <c r="F109" s="110"/>
      <c r="G109" s="110"/>
    </row>
    <row r="110" spans="1:7" x14ac:dyDescent="0.2">
      <c r="A110" s="111">
        <f>A86+1</f>
        <v>2023</v>
      </c>
      <c r="B110" s="112"/>
      <c r="C110" s="112"/>
      <c r="D110" s="112"/>
      <c r="E110" s="112"/>
      <c r="F110" s="113"/>
      <c r="G110" s="114"/>
    </row>
    <row r="111" spans="1:7" x14ac:dyDescent="0.2">
      <c r="A111" s="67" t="s">
        <v>118</v>
      </c>
      <c r="B111" s="63"/>
      <c r="C111" s="115" t="s">
        <v>76</v>
      </c>
      <c r="D111" s="116"/>
      <c r="E111" s="117" t="s">
        <v>119</v>
      </c>
      <c r="F111" s="118" t="s">
        <v>120</v>
      </c>
      <c r="G111" s="119"/>
    </row>
    <row r="112" spans="1:7" x14ac:dyDescent="0.2">
      <c r="A112" s="61" t="s">
        <v>82</v>
      </c>
      <c r="B112" s="120" t="s">
        <v>121</v>
      </c>
      <c r="C112" s="121" t="s">
        <v>93</v>
      </c>
      <c r="D112" s="120" t="s">
        <v>122</v>
      </c>
      <c r="E112" s="122" t="s">
        <v>89</v>
      </c>
      <c r="F112" s="118" t="s">
        <v>123</v>
      </c>
      <c r="G112" s="119"/>
    </row>
    <row r="113" spans="1:7" x14ac:dyDescent="0.2">
      <c r="A113" s="123">
        <f t="shared" ref="A113:B126" si="65">IF($E$113=$AO9,+A9,A114)</f>
        <v>10</v>
      </c>
      <c r="B113" s="124" t="str">
        <f t="shared" si="65"/>
        <v>La uno</v>
      </c>
      <c r="C113" s="125">
        <f t="shared" ref="C113:C126" si="66">IF($E$113=$AO9,+AN9*$AM$4,C114)</f>
        <v>409500</v>
      </c>
      <c r="D113" s="124">
        <f>AO4</f>
        <v>3</v>
      </c>
      <c r="E113" s="126">
        <f>MAXA(AO9:AO28)</f>
        <v>89.702352722832728</v>
      </c>
      <c r="F113" s="127">
        <f>AQ29</f>
        <v>280</v>
      </c>
      <c r="G113" s="128"/>
    </row>
    <row r="114" spans="1:7" hidden="1" x14ac:dyDescent="0.2">
      <c r="A114" s="131" t="e">
        <f t="shared" si="65"/>
        <v>#REF!</v>
      </c>
      <c r="B114" s="131" t="e">
        <f t="shared" si="65"/>
        <v>#REF!</v>
      </c>
      <c r="C114" s="124" t="e">
        <f t="shared" si="66"/>
        <v>#REF!</v>
      </c>
      <c r="D114" s="129"/>
      <c r="E114" s="130"/>
      <c r="F114" s="110"/>
      <c r="G114" s="110"/>
    </row>
    <row r="115" spans="1:7" hidden="1" x14ac:dyDescent="0.2">
      <c r="A115" s="131" t="e">
        <f t="shared" si="65"/>
        <v>#REF!</v>
      </c>
      <c r="B115" s="131" t="e">
        <f t="shared" si="65"/>
        <v>#REF!</v>
      </c>
      <c r="C115" s="124" t="e">
        <f t="shared" si="66"/>
        <v>#REF!</v>
      </c>
      <c r="D115" s="129"/>
      <c r="E115" s="130"/>
      <c r="F115" s="110"/>
      <c r="G115" s="110"/>
    </row>
    <row r="116" spans="1:7" hidden="1" x14ac:dyDescent="0.2">
      <c r="A116" s="131" t="e">
        <f t="shared" si="65"/>
        <v>#REF!</v>
      </c>
      <c r="B116" s="131" t="e">
        <f t="shared" si="65"/>
        <v>#REF!</v>
      </c>
      <c r="C116" s="124" t="e">
        <f t="shared" si="66"/>
        <v>#REF!</v>
      </c>
      <c r="D116" s="129"/>
      <c r="E116" s="130"/>
      <c r="F116" s="110"/>
      <c r="G116" s="110"/>
    </row>
    <row r="117" spans="1:7" hidden="1" x14ac:dyDescent="0.2">
      <c r="A117" s="131" t="e">
        <f t="shared" si="65"/>
        <v>#REF!</v>
      </c>
      <c r="B117" s="131" t="e">
        <f t="shared" si="65"/>
        <v>#REF!</v>
      </c>
      <c r="C117" s="124" t="e">
        <f t="shared" si="66"/>
        <v>#REF!</v>
      </c>
      <c r="D117" s="129"/>
      <c r="E117" s="130"/>
      <c r="F117" s="110"/>
      <c r="G117" s="110"/>
    </row>
    <row r="118" spans="1:7" hidden="1" x14ac:dyDescent="0.2">
      <c r="A118" s="131" t="e">
        <f t="shared" si="65"/>
        <v>#REF!</v>
      </c>
      <c r="B118" s="131" t="e">
        <f t="shared" si="65"/>
        <v>#REF!</v>
      </c>
      <c r="C118" s="124" t="e">
        <f t="shared" si="66"/>
        <v>#REF!</v>
      </c>
      <c r="D118" s="129"/>
      <c r="E118" s="130"/>
      <c r="F118" s="110"/>
      <c r="G118" s="110"/>
    </row>
    <row r="119" spans="1:7" hidden="1" x14ac:dyDescent="0.2">
      <c r="A119" s="131" t="e">
        <f t="shared" si="65"/>
        <v>#REF!</v>
      </c>
      <c r="B119" s="131" t="e">
        <f t="shared" si="65"/>
        <v>#REF!</v>
      </c>
      <c r="C119" s="124" t="e">
        <f t="shared" si="66"/>
        <v>#REF!</v>
      </c>
      <c r="D119" s="129"/>
      <c r="E119" s="130"/>
      <c r="F119" s="110"/>
      <c r="G119" s="110"/>
    </row>
    <row r="120" spans="1:7" hidden="1" x14ac:dyDescent="0.2">
      <c r="A120" s="131" t="e">
        <f t="shared" si="65"/>
        <v>#REF!</v>
      </c>
      <c r="B120" s="131" t="e">
        <f t="shared" si="65"/>
        <v>#REF!</v>
      </c>
      <c r="C120" s="124" t="e">
        <f t="shared" si="66"/>
        <v>#REF!</v>
      </c>
      <c r="D120" s="129"/>
      <c r="E120" s="130"/>
      <c r="F120" s="110"/>
      <c r="G120" s="110"/>
    </row>
    <row r="121" spans="1:7" hidden="1" x14ac:dyDescent="0.2">
      <c r="A121" s="131" t="e">
        <f t="shared" si="65"/>
        <v>#REF!</v>
      </c>
      <c r="B121" s="131" t="e">
        <f t="shared" si="65"/>
        <v>#REF!</v>
      </c>
      <c r="C121" s="124" t="e">
        <f t="shared" si="66"/>
        <v>#REF!</v>
      </c>
      <c r="D121" s="129"/>
      <c r="E121" s="130"/>
      <c r="F121" s="110"/>
      <c r="G121" s="110"/>
    </row>
    <row r="122" spans="1:7" hidden="1" x14ac:dyDescent="0.2">
      <c r="A122" s="131" t="e">
        <f t="shared" si="65"/>
        <v>#REF!</v>
      </c>
      <c r="B122" s="131" t="e">
        <f t="shared" si="65"/>
        <v>#REF!</v>
      </c>
      <c r="C122" s="124" t="e">
        <f t="shared" si="66"/>
        <v>#REF!</v>
      </c>
      <c r="D122" s="129"/>
      <c r="E122" s="130"/>
      <c r="F122" s="110"/>
      <c r="G122" s="110"/>
    </row>
    <row r="123" spans="1:7" hidden="1" x14ac:dyDescent="0.2">
      <c r="A123" s="131" t="e">
        <f t="shared" si="65"/>
        <v>#REF!</v>
      </c>
      <c r="B123" s="131" t="e">
        <f t="shared" si="65"/>
        <v>#REF!</v>
      </c>
      <c r="C123" s="124" t="e">
        <f t="shared" si="66"/>
        <v>#REF!</v>
      </c>
      <c r="D123" s="129"/>
      <c r="E123" s="130"/>
      <c r="F123" s="110"/>
      <c r="G123" s="110"/>
    </row>
    <row r="124" spans="1:7" hidden="1" x14ac:dyDescent="0.2">
      <c r="A124" s="131" t="e">
        <f t="shared" si="65"/>
        <v>#REF!</v>
      </c>
      <c r="B124" s="131" t="e">
        <f t="shared" si="65"/>
        <v>#REF!</v>
      </c>
      <c r="C124" s="124" t="e">
        <f t="shared" si="66"/>
        <v>#REF!</v>
      </c>
      <c r="D124" s="129"/>
      <c r="E124" s="130"/>
      <c r="F124" s="110"/>
      <c r="G124" s="110"/>
    </row>
    <row r="125" spans="1:7" hidden="1" x14ac:dyDescent="0.2">
      <c r="A125" s="131" t="e">
        <f t="shared" si="65"/>
        <v>#REF!</v>
      </c>
      <c r="B125" s="131" t="e">
        <f t="shared" si="65"/>
        <v>#REF!</v>
      </c>
      <c r="C125" s="124" t="e">
        <f t="shared" si="66"/>
        <v>#REF!</v>
      </c>
      <c r="D125" s="129"/>
      <c r="E125" s="130"/>
      <c r="F125" s="110"/>
      <c r="G125" s="110"/>
    </row>
    <row r="126" spans="1:7" hidden="1" x14ac:dyDescent="0.2">
      <c r="A126" s="131" t="e">
        <f t="shared" si="65"/>
        <v>#REF!</v>
      </c>
      <c r="B126" s="131" t="e">
        <f t="shared" si="65"/>
        <v>#REF!</v>
      </c>
      <c r="C126" s="124" t="e">
        <f t="shared" si="66"/>
        <v>#REF!</v>
      </c>
      <c r="D126" s="129"/>
      <c r="E126" s="130"/>
      <c r="F126" s="110"/>
      <c r="G126" s="110"/>
    </row>
    <row r="127" spans="1:7" hidden="1" x14ac:dyDescent="0.2">
      <c r="A127" s="131" t="e">
        <f>IF($E$113=#REF!,+#REF!,A128)</f>
        <v>#REF!</v>
      </c>
      <c r="B127" s="131" t="e">
        <f>IF($E$113=#REF!,+#REF!,B128)</f>
        <v>#REF!</v>
      </c>
      <c r="C127" s="124" t="e">
        <f>IF($E$113=#REF!,+#REF!*$AM$4,C128)</f>
        <v>#REF!</v>
      </c>
      <c r="D127" s="129"/>
      <c r="E127" s="130"/>
      <c r="F127" s="110"/>
      <c r="G127" s="110"/>
    </row>
    <row r="128" spans="1:7" hidden="1" x14ac:dyDescent="0.2">
      <c r="A128" s="131" t="e">
        <f t="shared" ref="A128:B132" si="67">IF($E$113=$AO23,+A23,A129)</f>
        <v>#REF!</v>
      </c>
      <c r="B128" s="131" t="e">
        <f t="shared" si="67"/>
        <v>#REF!</v>
      </c>
      <c r="C128" s="124">
        <f t="shared" ref="C128:C133" si="68">IF($E$113=$AO23,+AN23*$AM$4,C129)</f>
        <v>0</v>
      </c>
      <c r="D128" s="129"/>
      <c r="E128" s="130"/>
      <c r="F128" s="110"/>
      <c r="G128" s="110"/>
    </row>
    <row r="129" spans="1:7" hidden="1" x14ac:dyDescent="0.2">
      <c r="A129" s="131" t="e">
        <f t="shared" si="67"/>
        <v>#REF!</v>
      </c>
      <c r="B129" s="131" t="e">
        <f t="shared" si="67"/>
        <v>#REF!</v>
      </c>
      <c r="C129" s="124">
        <f t="shared" si="68"/>
        <v>0</v>
      </c>
      <c r="D129" s="129"/>
      <c r="E129" s="130"/>
      <c r="F129" s="110"/>
      <c r="G129" s="110"/>
    </row>
    <row r="130" spans="1:7" hidden="1" x14ac:dyDescent="0.2">
      <c r="A130" s="131" t="e">
        <f t="shared" si="67"/>
        <v>#REF!</v>
      </c>
      <c r="B130" s="131" t="e">
        <f t="shared" si="67"/>
        <v>#REF!</v>
      </c>
      <c r="C130" s="124">
        <f t="shared" si="68"/>
        <v>0</v>
      </c>
      <c r="D130" s="129"/>
      <c r="E130" s="130"/>
      <c r="F130" s="110"/>
      <c r="G130" s="110"/>
    </row>
    <row r="131" spans="1:7" hidden="1" x14ac:dyDescent="0.2">
      <c r="A131" s="131" t="e">
        <f t="shared" si="67"/>
        <v>#REF!</v>
      </c>
      <c r="B131" s="131" t="e">
        <f t="shared" si="67"/>
        <v>#REF!</v>
      </c>
      <c r="C131" s="124">
        <f t="shared" si="68"/>
        <v>0</v>
      </c>
      <c r="D131" s="129"/>
      <c r="E131" s="130"/>
      <c r="F131" s="110"/>
      <c r="G131" s="110"/>
    </row>
    <row r="132" spans="1:7" hidden="1" x14ac:dyDescent="0.2">
      <c r="A132" s="131" t="e">
        <f t="shared" si="67"/>
        <v>#REF!</v>
      </c>
      <c r="B132" s="131" t="e">
        <f t="shared" si="67"/>
        <v>#REF!</v>
      </c>
      <c r="C132" s="124">
        <f t="shared" si="68"/>
        <v>0</v>
      </c>
      <c r="D132" s="129"/>
      <c r="E132" s="130"/>
      <c r="F132" s="110"/>
      <c r="G132" s="110"/>
    </row>
    <row r="133" spans="1:7" hidden="1" x14ac:dyDescent="0.2">
      <c r="A133" s="131" t="e">
        <f>IF($E$113=$AO28,+A28,#REF!)</f>
        <v>#REF!</v>
      </c>
      <c r="B133" s="131" t="e">
        <f>IF($E$113=$AO28,+B28,#REF!)</f>
        <v>#REF!</v>
      </c>
      <c r="C133" s="124">
        <f t="shared" si="68"/>
        <v>0</v>
      </c>
      <c r="D133" s="129"/>
      <c r="E133" s="130"/>
      <c r="F133" s="110"/>
      <c r="G133" s="110"/>
    </row>
    <row r="134" spans="1:7" x14ac:dyDescent="0.2">
      <c r="A134" s="111">
        <f>A110+1</f>
        <v>2024</v>
      </c>
      <c r="B134" s="112"/>
      <c r="C134" s="112"/>
      <c r="D134" s="112"/>
      <c r="E134" s="112"/>
      <c r="F134" s="113"/>
      <c r="G134" s="114"/>
    </row>
    <row r="135" spans="1:7" x14ac:dyDescent="0.2">
      <c r="A135" s="67" t="s">
        <v>118</v>
      </c>
      <c r="B135" s="63"/>
      <c r="C135" s="115" t="s">
        <v>76</v>
      </c>
      <c r="D135" s="116"/>
      <c r="E135" s="117" t="s">
        <v>119</v>
      </c>
      <c r="F135" s="118" t="s">
        <v>120</v>
      </c>
      <c r="G135" s="119"/>
    </row>
    <row r="136" spans="1:7" x14ac:dyDescent="0.2">
      <c r="A136" s="61" t="s">
        <v>82</v>
      </c>
      <c r="B136" s="120" t="s">
        <v>121</v>
      </c>
      <c r="C136" s="121" t="s">
        <v>93</v>
      </c>
      <c r="D136" s="120" t="s">
        <v>122</v>
      </c>
      <c r="E136" s="122" t="s">
        <v>89</v>
      </c>
      <c r="F136" s="118" t="s">
        <v>123</v>
      </c>
      <c r="G136" s="119"/>
    </row>
    <row r="137" spans="1:7" x14ac:dyDescent="0.2">
      <c r="A137" s="123">
        <f t="shared" ref="A137:B150" si="69">IF($E$137=$AY9,A9,A138)</f>
        <v>80</v>
      </c>
      <c r="B137" s="124" t="str">
        <f t="shared" si="69"/>
        <v>La ocho</v>
      </c>
      <c r="C137" s="125">
        <f t="shared" ref="C137:C150" si="70">IF($E$137=$AY9,AX9*$BG$4,C138)</f>
        <v>376740</v>
      </c>
      <c r="D137" s="124">
        <f>AY4</f>
        <v>3</v>
      </c>
      <c r="E137" s="126">
        <f>MAXA(AY9:AY28)</f>
        <v>67.509269469660779</v>
      </c>
      <c r="F137" s="127">
        <f>BA29</f>
        <v>0</v>
      </c>
      <c r="G137" s="128"/>
    </row>
    <row r="138" spans="1:7" hidden="1" x14ac:dyDescent="0.2">
      <c r="A138" s="131">
        <f t="shared" si="69"/>
        <v>80</v>
      </c>
      <c r="B138" s="131" t="str">
        <f t="shared" si="69"/>
        <v>La ocho</v>
      </c>
      <c r="C138" s="124">
        <f t="shared" si="70"/>
        <v>376740</v>
      </c>
      <c r="D138" s="129"/>
      <c r="E138" s="130"/>
      <c r="F138" s="110"/>
      <c r="G138" s="110"/>
    </row>
    <row r="139" spans="1:7" hidden="1" x14ac:dyDescent="0.2">
      <c r="A139" s="131">
        <f t="shared" si="69"/>
        <v>80</v>
      </c>
      <c r="B139" s="131" t="str">
        <f t="shared" si="69"/>
        <v>La ocho</v>
      </c>
      <c r="C139" s="124">
        <f t="shared" si="70"/>
        <v>376740</v>
      </c>
      <c r="D139" s="129"/>
      <c r="E139" s="130"/>
      <c r="F139" s="110"/>
      <c r="G139" s="110"/>
    </row>
    <row r="140" spans="1:7" hidden="1" x14ac:dyDescent="0.2">
      <c r="A140" s="131">
        <f t="shared" si="69"/>
        <v>80</v>
      </c>
      <c r="B140" s="131" t="str">
        <f t="shared" si="69"/>
        <v>La ocho</v>
      </c>
      <c r="C140" s="124">
        <f t="shared" si="70"/>
        <v>376740</v>
      </c>
      <c r="D140" s="129"/>
      <c r="E140" s="130"/>
      <c r="F140" s="110"/>
      <c r="G140" s="110"/>
    </row>
    <row r="141" spans="1:7" hidden="1" x14ac:dyDescent="0.2">
      <c r="A141" s="131">
        <f t="shared" si="69"/>
        <v>80</v>
      </c>
      <c r="B141" s="131" t="str">
        <f t="shared" si="69"/>
        <v>La ocho</v>
      </c>
      <c r="C141" s="124">
        <f t="shared" si="70"/>
        <v>376740</v>
      </c>
      <c r="D141" s="129"/>
      <c r="E141" s="130"/>
      <c r="F141" s="110"/>
      <c r="G141" s="110"/>
    </row>
    <row r="142" spans="1:7" hidden="1" x14ac:dyDescent="0.2">
      <c r="A142" s="131">
        <f t="shared" si="69"/>
        <v>80</v>
      </c>
      <c r="B142" s="131" t="str">
        <f t="shared" si="69"/>
        <v>La ocho</v>
      </c>
      <c r="C142" s="124">
        <f t="shared" si="70"/>
        <v>376740</v>
      </c>
      <c r="D142" s="129"/>
      <c r="E142" s="130"/>
      <c r="F142" s="110"/>
      <c r="G142" s="110"/>
    </row>
    <row r="143" spans="1:7" hidden="1" x14ac:dyDescent="0.2">
      <c r="A143" s="131">
        <f t="shared" si="69"/>
        <v>80</v>
      </c>
      <c r="B143" s="131" t="str">
        <f t="shared" si="69"/>
        <v>La ocho</v>
      </c>
      <c r="C143" s="124">
        <f t="shared" si="70"/>
        <v>376740</v>
      </c>
      <c r="D143" s="129"/>
      <c r="E143" s="130"/>
      <c r="F143" s="110"/>
      <c r="G143" s="110"/>
    </row>
    <row r="144" spans="1:7" hidden="1" x14ac:dyDescent="0.2">
      <c r="A144" s="131">
        <f t="shared" si="69"/>
        <v>80</v>
      </c>
      <c r="B144" s="131" t="str">
        <f t="shared" si="69"/>
        <v>La ocho</v>
      </c>
      <c r="C144" s="124">
        <f t="shared" si="70"/>
        <v>376740</v>
      </c>
      <c r="D144" s="129"/>
      <c r="E144" s="130"/>
      <c r="F144" s="110"/>
      <c r="G144" s="110"/>
    </row>
    <row r="145" spans="1:7" hidden="1" x14ac:dyDescent="0.2">
      <c r="A145" s="131" t="e">
        <f t="shared" si="69"/>
        <v>#REF!</v>
      </c>
      <c r="B145" s="131" t="e">
        <f t="shared" si="69"/>
        <v>#REF!</v>
      </c>
      <c r="C145" s="124" t="e">
        <f t="shared" si="70"/>
        <v>#REF!</v>
      </c>
      <c r="D145" s="129"/>
      <c r="E145" s="130"/>
      <c r="F145" s="110"/>
      <c r="G145" s="110"/>
    </row>
    <row r="146" spans="1:7" hidden="1" x14ac:dyDescent="0.2">
      <c r="A146" s="131" t="e">
        <f t="shared" si="69"/>
        <v>#REF!</v>
      </c>
      <c r="B146" s="131" t="e">
        <f t="shared" si="69"/>
        <v>#REF!</v>
      </c>
      <c r="C146" s="124" t="e">
        <f t="shared" si="70"/>
        <v>#REF!</v>
      </c>
      <c r="D146" s="129"/>
      <c r="E146" s="130"/>
      <c r="F146" s="110"/>
      <c r="G146" s="110"/>
    </row>
    <row r="147" spans="1:7" hidden="1" x14ac:dyDescent="0.2">
      <c r="A147" s="131" t="e">
        <f t="shared" si="69"/>
        <v>#REF!</v>
      </c>
      <c r="B147" s="131" t="e">
        <f t="shared" si="69"/>
        <v>#REF!</v>
      </c>
      <c r="C147" s="124" t="e">
        <f t="shared" si="70"/>
        <v>#REF!</v>
      </c>
      <c r="D147" s="129"/>
      <c r="E147" s="130"/>
      <c r="F147" s="110"/>
      <c r="G147" s="110"/>
    </row>
    <row r="148" spans="1:7" hidden="1" x14ac:dyDescent="0.2">
      <c r="A148" s="131" t="e">
        <f t="shared" si="69"/>
        <v>#REF!</v>
      </c>
      <c r="B148" s="131" t="e">
        <f t="shared" si="69"/>
        <v>#REF!</v>
      </c>
      <c r="C148" s="124" t="e">
        <f t="shared" si="70"/>
        <v>#REF!</v>
      </c>
      <c r="D148" s="129"/>
      <c r="E148" s="130"/>
      <c r="F148" s="110"/>
      <c r="G148" s="110"/>
    </row>
    <row r="149" spans="1:7" hidden="1" x14ac:dyDescent="0.2">
      <c r="A149" s="131" t="e">
        <f t="shared" si="69"/>
        <v>#REF!</v>
      </c>
      <c r="B149" s="131" t="e">
        <f t="shared" si="69"/>
        <v>#REF!</v>
      </c>
      <c r="C149" s="124" t="e">
        <f t="shared" si="70"/>
        <v>#REF!</v>
      </c>
      <c r="D149" s="129"/>
      <c r="E149" s="130"/>
      <c r="F149" s="110"/>
      <c r="G149" s="110"/>
    </row>
    <row r="150" spans="1:7" hidden="1" x14ac:dyDescent="0.2">
      <c r="A150" s="131" t="e">
        <f t="shared" si="69"/>
        <v>#REF!</v>
      </c>
      <c r="B150" s="131" t="e">
        <f t="shared" si="69"/>
        <v>#REF!</v>
      </c>
      <c r="C150" s="124" t="e">
        <f t="shared" si="70"/>
        <v>#REF!</v>
      </c>
      <c r="D150" s="129"/>
      <c r="E150" s="130"/>
      <c r="F150" s="110"/>
      <c r="G150" s="110"/>
    </row>
    <row r="151" spans="1:7" hidden="1" x14ac:dyDescent="0.2">
      <c r="A151" s="131" t="e">
        <f>IF($E$137=#REF!,#REF!,A152)</f>
        <v>#REF!</v>
      </c>
      <c r="B151" s="131" t="e">
        <f>IF($E$137=#REF!,#REF!,B152)</f>
        <v>#REF!</v>
      </c>
      <c r="C151" s="124" t="e">
        <f>IF($E$137=#REF!,#REF!*$BG$4,C152)</f>
        <v>#REF!</v>
      </c>
      <c r="D151" s="129"/>
      <c r="E151" s="130"/>
      <c r="F151" s="110"/>
      <c r="G151" s="110"/>
    </row>
    <row r="152" spans="1:7" hidden="1" x14ac:dyDescent="0.2">
      <c r="A152" s="131" t="e">
        <f t="shared" ref="A152:B156" si="71">IF($E$137=$AY23,A23,A153)</f>
        <v>#REF!</v>
      </c>
      <c r="B152" s="131" t="e">
        <f t="shared" si="71"/>
        <v>#REF!</v>
      </c>
      <c r="C152" s="124">
        <f t="shared" ref="C152:C157" si="72">IF($E$137=$AY23,AX23*$BG$4,C153)</f>
        <v>0</v>
      </c>
      <c r="D152" s="129"/>
      <c r="E152" s="130"/>
      <c r="F152" s="110"/>
      <c r="G152" s="110"/>
    </row>
    <row r="153" spans="1:7" hidden="1" x14ac:dyDescent="0.2">
      <c r="A153" s="131" t="e">
        <f t="shared" si="71"/>
        <v>#REF!</v>
      </c>
      <c r="B153" s="131" t="e">
        <f t="shared" si="71"/>
        <v>#REF!</v>
      </c>
      <c r="C153" s="124">
        <f t="shared" si="72"/>
        <v>0</v>
      </c>
      <c r="D153" s="129"/>
      <c r="E153" s="130"/>
      <c r="F153" s="110"/>
      <c r="G153" s="110"/>
    </row>
    <row r="154" spans="1:7" hidden="1" x14ac:dyDescent="0.2">
      <c r="A154" s="131" t="e">
        <f t="shared" si="71"/>
        <v>#REF!</v>
      </c>
      <c r="B154" s="131" t="e">
        <f t="shared" si="71"/>
        <v>#REF!</v>
      </c>
      <c r="C154" s="124">
        <f t="shared" si="72"/>
        <v>0</v>
      </c>
      <c r="D154" s="129"/>
      <c r="E154" s="130"/>
      <c r="F154" s="110"/>
      <c r="G154" s="110"/>
    </row>
    <row r="155" spans="1:7" hidden="1" x14ac:dyDescent="0.2">
      <c r="A155" s="131" t="e">
        <f t="shared" si="71"/>
        <v>#REF!</v>
      </c>
      <c r="B155" s="131" t="e">
        <f t="shared" si="71"/>
        <v>#REF!</v>
      </c>
      <c r="C155" s="124">
        <f t="shared" si="72"/>
        <v>0</v>
      </c>
      <c r="D155" s="129"/>
      <c r="E155" s="130"/>
      <c r="F155" s="110"/>
      <c r="G155" s="110"/>
    </row>
    <row r="156" spans="1:7" hidden="1" x14ac:dyDescent="0.2">
      <c r="A156" s="131" t="e">
        <f t="shared" si="71"/>
        <v>#REF!</v>
      </c>
      <c r="B156" s="131" t="e">
        <f t="shared" si="71"/>
        <v>#REF!</v>
      </c>
      <c r="C156" s="124">
        <f t="shared" si="72"/>
        <v>0</v>
      </c>
      <c r="D156" s="129"/>
      <c r="E156" s="130"/>
      <c r="F156" s="110"/>
      <c r="G156" s="110"/>
    </row>
    <row r="157" spans="1:7" hidden="1" x14ac:dyDescent="0.2">
      <c r="A157" s="131" t="e">
        <f>IF($E$137=$AY28,A28,#REF!)</f>
        <v>#REF!</v>
      </c>
      <c r="B157" s="131" t="e">
        <f>IF($E$137=$AY28,B28,#REF!)</f>
        <v>#REF!</v>
      </c>
      <c r="C157" s="124">
        <f t="shared" si="72"/>
        <v>0</v>
      </c>
      <c r="D157" s="129"/>
      <c r="E157" s="130"/>
      <c r="F157" s="110"/>
      <c r="G157" s="110"/>
    </row>
    <row r="158" spans="1:7" x14ac:dyDescent="0.2">
      <c r="A158" s="111">
        <f>A134+1</f>
        <v>2025</v>
      </c>
      <c r="B158" s="112"/>
      <c r="C158" s="112"/>
      <c r="D158" s="112"/>
      <c r="E158" s="112"/>
      <c r="F158" s="113"/>
      <c r="G158" s="114"/>
    </row>
    <row r="159" spans="1:7" x14ac:dyDescent="0.2">
      <c r="A159" s="67" t="s">
        <v>118</v>
      </c>
      <c r="B159" s="116"/>
      <c r="C159" s="115" t="s">
        <v>76</v>
      </c>
      <c r="D159" s="116"/>
      <c r="E159" s="117" t="s">
        <v>119</v>
      </c>
      <c r="F159" s="118" t="s">
        <v>120</v>
      </c>
      <c r="G159" s="119"/>
    </row>
    <row r="160" spans="1:7" x14ac:dyDescent="0.2">
      <c r="A160" s="61" t="s">
        <v>82</v>
      </c>
      <c r="B160" s="120" t="s">
        <v>121</v>
      </c>
      <c r="C160" s="121" t="s">
        <v>93</v>
      </c>
      <c r="D160" s="120" t="s">
        <v>122</v>
      </c>
      <c r="E160" s="122" t="s">
        <v>89</v>
      </c>
      <c r="F160" s="118" t="s">
        <v>123</v>
      </c>
      <c r="G160" s="119"/>
    </row>
    <row r="161" spans="1:7" x14ac:dyDescent="0.2">
      <c r="A161" s="123">
        <f t="shared" ref="A161:B174" si="73">IF($E$161=$BI9,A9,A162)</f>
        <v>80</v>
      </c>
      <c r="B161" s="124" t="str">
        <f t="shared" si="73"/>
        <v>La ocho</v>
      </c>
      <c r="C161" s="125">
        <f t="shared" ref="C161:C174" si="74">IF($E$161=$BI9,BH9*$BG$4,C162)</f>
        <v>376740</v>
      </c>
      <c r="D161" s="124">
        <f>BI4</f>
        <v>3</v>
      </c>
      <c r="E161" s="126">
        <f>MAXA(BI9:BI28)</f>
        <v>69.825973270690668</v>
      </c>
      <c r="F161" s="132">
        <f>BK29</f>
        <v>0</v>
      </c>
      <c r="G161" s="128"/>
    </row>
    <row r="162" spans="1:7" hidden="1" x14ac:dyDescent="0.2">
      <c r="A162" s="131">
        <f t="shared" si="73"/>
        <v>80</v>
      </c>
      <c r="B162" s="131" t="str">
        <f t="shared" si="73"/>
        <v>La ocho</v>
      </c>
      <c r="C162" s="124">
        <f t="shared" si="74"/>
        <v>376740</v>
      </c>
    </row>
    <row r="163" spans="1:7" hidden="1" x14ac:dyDescent="0.2">
      <c r="A163" s="131">
        <f t="shared" si="73"/>
        <v>80</v>
      </c>
      <c r="B163" s="131" t="str">
        <f t="shared" si="73"/>
        <v>La ocho</v>
      </c>
      <c r="C163" s="124">
        <f t="shared" si="74"/>
        <v>376740</v>
      </c>
    </row>
    <row r="164" spans="1:7" hidden="1" x14ac:dyDescent="0.2">
      <c r="A164" s="131">
        <f t="shared" si="73"/>
        <v>80</v>
      </c>
      <c r="B164" s="131" t="str">
        <f t="shared" si="73"/>
        <v>La ocho</v>
      </c>
      <c r="C164" s="124">
        <f t="shared" si="74"/>
        <v>376740</v>
      </c>
    </row>
    <row r="165" spans="1:7" hidden="1" x14ac:dyDescent="0.2">
      <c r="A165" s="131">
        <f t="shared" si="73"/>
        <v>80</v>
      </c>
      <c r="B165" s="131" t="str">
        <f t="shared" si="73"/>
        <v>La ocho</v>
      </c>
      <c r="C165" s="124">
        <f t="shared" si="74"/>
        <v>376740</v>
      </c>
    </row>
    <row r="166" spans="1:7" hidden="1" x14ac:dyDescent="0.2">
      <c r="A166" s="131">
        <f t="shared" si="73"/>
        <v>80</v>
      </c>
      <c r="B166" s="131" t="str">
        <f t="shared" si="73"/>
        <v>La ocho</v>
      </c>
      <c r="C166" s="124">
        <f t="shared" si="74"/>
        <v>376740</v>
      </c>
    </row>
    <row r="167" spans="1:7" hidden="1" x14ac:dyDescent="0.2">
      <c r="A167" s="131">
        <f t="shared" si="73"/>
        <v>80</v>
      </c>
      <c r="B167" s="131" t="str">
        <f t="shared" si="73"/>
        <v>La ocho</v>
      </c>
      <c r="C167" s="124">
        <f t="shared" si="74"/>
        <v>376740</v>
      </c>
    </row>
    <row r="168" spans="1:7" hidden="1" x14ac:dyDescent="0.2">
      <c r="A168" s="131">
        <f t="shared" si="73"/>
        <v>80</v>
      </c>
      <c r="B168" s="131" t="str">
        <f t="shared" si="73"/>
        <v>La ocho</v>
      </c>
      <c r="C168" s="124">
        <f t="shared" si="74"/>
        <v>376740</v>
      </c>
    </row>
    <row r="169" spans="1:7" hidden="1" x14ac:dyDescent="0.2">
      <c r="A169" s="131" t="e">
        <f t="shared" si="73"/>
        <v>#REF!</v>
      </c>
      <c r="B169" s="131" t="e">
        <f t="shared" si="73"/>
        <v>#REF!</v>
      </c>
      <c r="C169" s="124" t="e">
        <f t="shared" si="74"/>
        <v>#REF!</v>
      </c>
    </row>
    <row r="170" spans="1:7" hidden="1" x14ac:dyDescent="0.2">
      <c r="A170" s="131" t="e">
        <f t="shared" si="73"/>
        <v>#REF!</v>
      </c>
      <c r="B170" s="131" t="e">
        <f t="shared" si="73"/>
        <v>#REF!</v>
      </c>
      <c r="C170" s="124" t="e">
        <f t="shared" si="74"/>
        <v>#REF!</v>
      </c>
    </row>
    <row r="171" spans="1:7" hidden="1" x14ac:dyDescent="0.2">
      <c r="A171" s="131" t="e">
        <f t="shared" si="73"/>
        <v>#REF!</v>
      </c>
      <c r="B171" s="131" t="e">
        <f t="shared" si="73"/>
        <v>#REF!</v>
      </c>
      <c r="C171" s="124" t="e">
        <f t="shared" si="74"/>
        <v>#REF!</v>
      </c>
    </row>
    <row r="172" spans="1:7" hidden="1" x14ac:dyDescent="0.2">
      <c r="A172" s="131" t="e">
        <f t="shared" si="73"/>
        <v>#REF!</v>
      </c>
      <c r="B172" s="131" t="e">
        <f t="shared" si="73"/>
        <v>#REF!</v>
      </c>
      <c r="C172" s="124" t="e">
        <f t="shared" si="74"/>
        <v>#REF!</v>
      </c>
    </row>
    <row r="173" spans="1:7" hidden="1" x14ac:dyDescent="0.2">
      <c r="A173" s="131" t="e">
        <f t="shared" si="73"/>
        <v>#REF!</v>
      </c>
      <c r="B173" s="131" t="e">
        <f t="shared" si="73"/>
        <v>#REF!</v>
      </c>
      <c r="C173" s="124" t="e">
        <f t="shared" si="74"/>
        <v>#REF!</v>
      </c>
    </row>
    <row r="174" spans="1:7" hidden="1" x14ac:dyDescent="0.2">
      <c r="A174" s="131" t="e">
        <f t="shared" si="73"/>
        <v>#REF!</v>
      </c>
      <c r="B174" s="131" t="e">
        <f t="shared" si="73"/>
        <v>#REF!</v>
      </c>
      <c r="C174" s="124" t="e">
        <f t="shared" si="74"/>
        <v>#REF!</v>
      </c>
    </row>
    <row r="175" spans="1:7" hidden="1" x14ac:dyDescent="0.2">
      <c r="A175" s="131" t="e">
        <f>IF($E$161=#REF!,#REF!,A176)</f>
        <v>#REF!</v>
      </c>
      <c r="B175" s="131" t="e">
        <f>IF($E$161=#REF!,#REF!,B176)</f>
        <v>#REF!</v>
      </c>
      <c r="C175" s="124" t="e">
        <f>IF($E$161=#REF!,#REF!*$BG$4,C176)</f>
        <v>#REF!</v>
      </c>
    </row>
    <row r="176" spans="1:7" hidden="1" x14ac:dyDescent="0.2">
      <c r="A176" s="131" t="e">
        <f t="shared" ref="A176:B180" si="75">IF($E$161=$BI23,A23,A177)</f>
        <v>#REF!</v>
      </c>
      <c r="B176" s="131" t="e">
        <f t="shared" si="75"/>
        <v>#REF!</v>
      </c>
      <c r="C176" s="124">
        <f t="shared" ref="C176:C181" si="76">IF($E$161=$BI23,BH23*$BG$4,C177)</f>
        <v>0</v>
      </c>
    </row>
    <row r="177" spans="1:3" hidden="1" x14ac:dyDescent="0.2">
      <c r="A177" s="131" t="e">
        <f t="shared" si="75"/>
        <v>#REF!</v>
      </c>
      <c r="B177" s="131" t="e">
        <f t="shared" si="75"/>
        <v>#REF!</v>
      </c>
      <c r="C177" s="124">
        <f t="shared" si="76"/>
        <v>0</v>
      </c>
    </row>
    <row r="178" spans="1:3" hidden="1" x14ac:dyDescent="0.2">
      <c r="A178" s="131" t="e">
        <f t="shared" si="75"/>
        <v>#REF!</v>
      </c>
      <c r="B178" s="131" t="e">
        <f t="shared" si="75"/>
        <v>#REF!</v>
      </c>
      <c r="C178" s="124">
        <f t="shared" si="76"/>
        <v>0</v>
      </c>
    </row>
    <row r="179" spans="1:3" hidden="1" x14ac:dyDescent="0.2">
      <c r="A179" s="131" t="e">
        <f t="shared" si="75"/>
        <v>#REF!</v>
      </c>
      <c r="B179" s="131" t="e">
        <f t="shared" si="75"/>
        <v>#REF!</v>
      </c>
      <c r="C179" s="124">
        <f t="shared" si="76"/>
        <v>0</v>
      </c>
    </row>
    <row r="180" spans="1:3" hidden="1" x14ac:dyDescent="0.2">
      <c r="A180" s="131" t="e">
        <f t="shared" si="75"/>
        <v>#REF!</v>
      </c>
      <c r="B180" s="131" t="e">
        <f t="shared" si="75"/>
        <v>#REF!</v>
      </c>
      <c r="C180" s="124">
        <f t="shared" si="76"/>
        <v>0</v>
      </c>
    </row>
    <row r="181" spans="1:3" hidden="1" x14ac:dyDescent="0.2">
      <c r="A181" s="131" t="e">
        <f>IF($E$161=$BI28,A28,#REF!)</f>
        <v>#REF!</v>
      </c>
      <c r="B181" s="131" t="e">
        <f>IF($E$161=$BI28,B28,#REF!)</f>
        <v>#REF!</v>
      </c>
      <c r="C181" s="124">
        <f t="shared" si="76"/>
        <v>0</v>
      </c>
    </row>
    <row r="265" spans="1:8" x14ac:dyDescent="0.2">
      <c r="A265" s="133"/>
      <c r="B265" s="134"/>
      <c r="C265" s="134"/>
      <c r="D265" s="134"/>
      <c r="E265" s="134"/>
      <c r="F265" s="134"/>
      <c r="G265" s="134"/>
      <c r="H265" s="134"/>
    </row>
    <row r="266" spans="1:8" x14ac:dyDescent="0.2">
      <c r="A266" s="133"/>
      <c r="B266" s="134"/>
      <c r="C266" s="134"/>
      <c r="D266" s="134"/>
      <c r="E266" s="134"/>
      <c r="F266" s="134"/>
      <c r="G266" s="134"/>
      <c r="H266" s="134"/>
    </row>
    <row r="267" spans="1:8" x14ac:dyDescent="0.2">
      <c r="A267" s="134"/>
      <c r="B267" s="134"/>
      <c r="C267" s="134"/>
      <c r="D267" s="134"/>
      <c r="E267" s="134"/>
      <c r="F267" s="134"/>
      <c r="G267" s="134"/>
      <c r="H267" s="134"/>
    </row>
    <row r="268" spans="1:8" x14ac:dyDescent="0.2">
      <c r="A268" s="133"/>
      <c r="B268" s="133"/>
      <c r="C268" s="133"/>
      <c r="D268" s="133"/>
      <c r="E268" s="133" t="s">
        <v>124</v>
      </c>
      <c r="F268" s="134"/>
      <c r="G268" s="134"/>
      <c r="H268" s="134"/>
    </row>
    <row r="269" spans="1:8" x14ac:dyDescent="0.2">
      <c r="A269" s="133"/>
      <c r="B269" s="133"/>
      <c r="C269" s="133"/>
      <c r="D269" s="133"/>
      <c r="E269" s="133" t="s">
        <v>125</v>
      </c>
      <c r="F269" s="134"/>
      <c r="G269" s="134"/>
      <c r="H269" s="134"/>
    </row>
    <row r="270" spans="1:8" x14ac:dyDescent="0.2">
      <c r="A270" s="133"/>
      <c r="B270" s="133"/>
      <c r="C270" s="133"/>
      <c r="D270" s="133"/>
      <c r="E270" s="133" t="s">
        <v>126</v>
      </c>
      <c r="F270" s="134"/>
      <c r="G270" s="134"/>
      <c r="H270" s="134"/>
    </row>
    <row r="271" spans="1:8" x14ac:dyDescent="0.2">
      <c r="A271" s="133"/>
      <c r="B271" s="133"/>
      <c r="C271" s="133"/>
      <c r="D271" s="133"/>
      <c r="E271" s="134"/>
      <c r="F271" s="134"/>
      <c r="G271" s="134"/>
      <c r="H271" s="134"/>
    </row>
    <row r="272" spans="1:8" x14ac:dyDescent="0.2">
      <c r="A272" s="133"/>
      <c r="B272" s="133"/>
      <c r="C272" s="134"/>
      <c r="D272" s="134"/>
      <c r="E272" s="134"/>
      <c r="F272" s="134"/>
      <c r="G272" s="134"/>
      <c r="H272" s="134"/>
    </row>
    <row r="273" spans="1:8" ht="15" customHeight="1" x14ac:dyDescent="0.2">
      <c r="A273" s="133"/>
      <c r="B273" s="134"/>
      <c r="C273" s="134"/>
      <c r="D273" s="134"/>
      <c r="E273" s="134"/>
      <c r="F273" s="134"/>
      <c r="G273" s="134"/>
      <c r="H273" s="134"/>
    </row>
    <row r="274" spans="1:8" ht="15" customHeight="1" x14ac:dyDescent="0.2">
      <c r="A274" s="133"/>
      <c r="B274" s="134"/>
      <c r="C274" s="134"/>
      <c r="D274" s="134"/>
      <c r="E274" s="134"/>
      <c r="F274" s="134"/>
      <c r="G274" s="134"/>
      <c r="H274" s="134"/>
    </row>
    <row r="275" spans="1:8" ht="15" customHeight="1" x14ac:dyDescent="0.2">
      <c r="A275" s="133"/>
      <c r="B275" s="134"/>
      <c r="C275" s="134"/>
      <c r="D275" s="134"/>
      <c r="E275" s="134"/>
      <c r="F275" s="134"/>
      <c r="G275" s="134"/>
      <c r="H275" s="134"/>
    </row>
    <row r="276" spans="1:8" ht="15" customHeight="1" x14ac:dyDescent="0.2">
      <c r="A276" s="133"/>
      <c r="B276" s="134"/>
      <c r="C276" s="134"/>
      <c r="D276" s="134"/>
      <c r="E276" s="134"/>
      <c r="F276" s="134"/>
      <c r="G276" s="134"/>
      <c r="H276" s="134"/>
    </row>
    <row r="277" spans="1:8" ht="15" customHeight="1" x14ac:dyDescent="0.2">
      <c r="A277" s="134"/>
      <c r="B277" s="134"/>
      <c r="C277" s="134"/>
      <c r="D277" s="134"/>
      <c r="E277" s="134"/>
      <c r="F277" s="134"/>
      <c r="G277" s="134"/>
      <c r="H277" s="134"/>
    </row>
    <row r="278" spans="1:8" ht="15" customHeight="1" x14ac:dyDescent="0.2">
      <c r="A278" s="134"/>
      <c r="B278" s="134"/>
      <c r="C278" s="134"/>
      <c r="D278" s="134"/>
      <c r="E278" s="134"/>
      <c r="F278" s="134"/>
      <c r="G278" s="134"/>
      <c r="H278" s="134"/>
    </row>
    <row r="279" spans="1:8" ht="15" customHeight="1" x14ac:dyDescent="0.2">
      <c r="A279" s="134"/>
      <c r="B279" s="134"/>
      <c r="C279" s="134"/>
      <c r="D279" s="134"/>
      <c r="E279" s="134"/>
      <c r="F279" s="134"/>
      <c r="G279" s="134"/>
      <c r="H279" s="134"/>
    </row>
    <row r="280" spans="1:8" ht="15" customHeight="1" x14ac:dyDescent="0.2">
      <c r="A280" s="134"/>
      <c r="B280" s="134"/>
      <c r="C280" s="134"/>
      <c r="D280" s="134"/>
      <c r="E280" s="134"/>
      <c r="F280" s="134"/>
      <c r="G280" s="134"/>
      <c r="H280" s="134"/>
    </row>
    <row r="281" spans="1:8" ht="15" customHeight="1" x14ac:dyDescent="0.2">
      <c r="A281" s="134"/>
      <c r="B281" s="134"/>
      <c r="C281" s="134"/>
      <c r="D281" s="134"/>
      <c r="E281" s="134"/>
      <c r="F281" s="134"/>
      <c r="G281" s="134"/>
      <c r="H281" s="134"/>
    </row>
    <row r="282" spans="1:8" ht="15" customHeight="1" x14ac:dyDescent="0.2">
      <c r="A282" s="134"/>
      <c r="B282" s="134"/>
      <c r="C282" s="134"/>
      <c r="D282" s="134"/>
      <c r="E282" s="134"/>
      <c r="F282" s="134"/>
      <c r="G282" s="134"/>
      <c r="H282" s="134"/>
    </row>
    <row r="283" spans="1:8" ht="15" customHeight="1" x14ac:dyDescent="0.2">
      <c r="A283" s="134"/>
      <c r="B283" s="134"/>
      <c r="C283" s="134"/>
      <c r="D283" s="134"/>
      <c r="E283" s="134"/>
      <c r="F283" s="134"/>
      <c r="G283" s="134"/>
      <c r="H283" s="134"/>
    </row>
    <row r="284" spans="1:8" ht="15" customHeight="1" x14ac:dyDescent="0.2">
      <c r="A284" s="134"/>
      <c r="B284" s="134"/>
      <c r="C284" s="134"/>
      <c r="D284" s="134"/>
      <c r="E284" s="134"/>
      <c r="F284" s="134"/>
      <c r="G284" s="134"/>
      <c r="H284" s="134"/>
    </row>
    <row r="285" spans="1:8" ht="15" customHeight="1" x14ac:dyDescent="0.2">
      <c r="A285" s="135"/>
      <c r="B285" s="134"/>
      <c r="C285" s="134"/>
      <c r="D285" s="134"/>
      <c r="E285" s="134"/>
      <c r="F285" s="134"/>
      <c r="G285" s="134"/>
      <c r="H285" s="134"/>
    </row>
    <row r="286" spans="1:8" ht="15" customHeight="1" x14ac:dyDescent="0.2">
      <c r="A286" s="135"/>
      <c r="B286" s="134"/>
      <c r="C286" s="134"/>
      <c r="D286" s="134"/>
      <c r="E286" s="134"/>
      <c r="F286" s="134"/>
      <c r="G286" s="134"/>
      <c r="H286" s="134"/>
    </row>
    <row r="287" spans="1:8" ht="15" customHeight="1" x14ac:dyDescent="0.2">
      <c r="A287" s="134"/>
      <c r="B287" s="134"/>
      <c r="C287" s="134"/>
      <c r="D287" s="134"/>
      <c r="E287" s="134"/>
      <c r="F287" s="134"/>
      <c r="G287" s="134"/>
      <c r="H287" s="134"/>
    </row>
    <row r="288" spans="1:8" ht="15" customHeight="1" x14ac:dyDescent="0.2">
      <c r="A288" s="134"/>
      <c r="B288" s="134"/>
      <c r="C288" s="134"/>
      <c r="D288" s="134"/>
      <c r="E288" s="134"/>
      <c r="F288" s="134"/>
      <c r="G288" s="134"/>
      <c r="H288" s="134"/>
    </row>
    <row r="289" spans="1:8" ht="15" customHeight="1" x14ac:dyDescent="0.2">
      <c r="A289" s="134"/>
      <c r="B289" s="134"/>
      <c r="C289" s="134"/>
      <c r="D289" s="134"/>
      <c r="E289" s="134"/>
      <c r="F289" s="134"/>
      <c r="G289" s="134"/>
      <c r="H289" s="134"/>
    </row>
    <row r="290" spans="1:8" ht="15" customHeight="1" x14ac:dyDescent="0.2">
      <c r="A290" s="134"/>
      <c r="B290" s="134"/>
      <c r="C290" s="134"/>
      <c r="D290" s="134"/>
      <c r="E290" s="134"/>
      <c r="F290" s="134"/>
      <c r="G290" s="134"/>
      <c r="H290" s="134"/>
    </row>
    <row r="291" spans="1:8" ht="15" customHeight="1" x14ac:dyDescent="0.2">
      <c r="A291" s="134"/>
      <c r="B291" s="134"/>
      <c r="C291" s="134"/>
      <c r="D291" s="134"/>
      <c r="E291" s="134"/>
      <c r="F291" s="134"/>
      <c r="G291" s="134"/>
      <c r="H291" s="134"/>
    </row>
    <row r="292" spans="1:8" ht="15" customHeight="1" x14ac:dyDescent="0.2">
      <c r="A292" s="134"/>
      <c r="B292" s="134"/>
      <c r="C292" s="134"/>
      <c r="D292" s="134"/>
      <c r="E292" s="134"/>
      <c r="F292" s="134"/>
      <c r="G292" s="134"/>
      <c r="H292" s="134"/>
    </row>
    <row r="293" spans="1:8" ht="15" customHeight="1" x14ac:dyDescent="0.2">
      <c r="A293" s="134"/>
      <c r="B293" s="134"/>
      <c r="C293" s="134"/>
      <c r="D293" s="134"/>
      <c r="E293" s="134"/>
      <c r="F293" s="134"/>
      <c r="G293" s="134"/>
      <c r="H293" s="134"/>
    </row>
    <row r="294" spans="1:8" ht="15" customHeight="1" x14ac:dyDescent="0.2">
      <c r="A294" s="134"/>
      <c r="B294" s="134"/>
      <c r="C294" s="134"/>
      <c r="D294" s="134"/>
      <c r="E294" s="134"/>
      <c r="F294" s="134"/>
      <c r="G294" s="134"/>
      <c r="H294" s="134"/>
    </row>
    <row r="295" spans="1:8" ht="15" customHeight="1" x14ac:dyDescent="0.2">
      <c r="A295" s="134"/>
      <c r="B295" s="134"/>
      <c r="C295" s="134"/>
      <c r="D295" s="134"/>
      <c r="E295" s="134"/>
      <c r="F295" s="134"/>
      <c r="G295" s="134"/>
      <c r="H295" s="134"/>
    </row>
    <row r="296" spans="1:8" ht="15" customHeight="1" x14ac:dyDescent="0.2">
      <c r="A296" s="134"/>
      <c r="B296" s="134"/>
      <c r="C296" s="134"/>
      <c r="D296" s="134"/>
      <c r="E296" s="134"/>
      <c r="F296" s="134"/>
      <c r="G296" s="134"/>
      <c r="H296" s="134"/>
    </row>
    <row r="297" spans="1:8" ht="15" customHeight="1" x14ac:dyDescent="0.2">
      <c r="A297" s="134"/>
      <c r="B297" s="134"/>
      <c r="C297" s="134"/>
      <c r="D297" s="134"/>
      <c r="E297" s="134"/>
      <c r="F297" s="134"/>
      <c r="G297" s="134"/>
      <c r="H297" s="134"/>
    </row>
    <row r="298" spans="1:8" ht="15" customHeight="1" x14ac:dyDescent="0.2">
      <c r="A298" s="134"/>
      <c r="B298" s="134"/>
      <c r="C298" s="134"/>
      <c r="D298" s="134"/>
      <c r="E298" s="134"/>
      <c r="F298" s="134"/>
      <c r="G298" s="134"/>
      <c r="H298" s="134"/>
    </row>
    <row r="299" spans="1:8" ht="15" customHeight="1" x14ac:dyDescent="0.2">
      <c r="A299" s="134"/>
      <c r="B299" s="134"/>
      <c r="C299" s="134"/>
      <c r="D299" s="134"/>
      <c r="E299" s="134"/>
      <c r="F299" s="134"/>
      <c r="G299" s="134"/>
      <c r="H299" s="134"/>
    </row>
    <row r="300" spans="1:8" ht="15" customHeight="1" x14ac:dyDescent="0.2">
      <c r="A300" s="134"/>
      <c r="B300" s="134"/>
      <c r="C300" s="134"/>
      <c r="D300" s="134"/>
      <c r="E300" s="134"/>
      <c r="F300" s="134"/>
      <c r="G300" s="134"/>
      <c r="H300" s="134"/>
    </row>
    <row r="301" spans="1:8" x14ac:dyDescent="0.2">
      <c r="A301" s="134"/>
      <c r="B301" s="134"/>
      <c r="C301" s="134"/>
      <c r="D301" s="134"/>
      <c r="E301" s="134"/>
      <c r="F301" s="134"/>
      <c r="G301" s="134"/>
      <c r="H301" s="134"/>
    </row>
    <row r="302" spans="1:8" x14ac:dyDescent="0.2">
      <c r="A302" s="134"/>
      <c r="B302" s="134"/>
      <c r="C302" s="134"/>
      <c r="D302" s="134"/>
      <c r="E302" s="134"/>
      <c r="F302" s="134"/>
      <c r="G302" s="134"/>
      <c r="H302" s="134"/>
    </row>
    <row r="303" spans="1:8" x14ac:dyDescent="0.2">
      <c r="A303" s="134"/>
      <c r="B303" s="134"/>
      <c r="C303" s="134"/>
      <c r="D303" s="134"/>
      <c r="E303" s="134"/>
      <c r="F303" s="134"/>
      <c r="G303" s="134"/>
      <c r="H303" s="134"/>
    </row>
    <row r="304" spans="1:8" x14ac:dyDescent="0.2">
      <c r="A304" s="134"/>
      <c r="B304" s="134"/>
      <c r="C304" s="134"/>
      <c r="D304" s="134"/>
      <c r="E304" s="134"/>
      <c r="F304" s="134"/>
      <c r="G304" s="134"/>
      <c r="H304" s="134"/>
    </row>
    <row r="305" spans="1:8" x14ac:dyDescent="0.2">
      <c r="A305" s="134"/>
      <c r="B305" s="134"/>
      <c r="C305" s="134"/>
      <c r="D305" s="134"/>
      <c r="E305" s="134"/>
      <c r="F305" s="134"/>
      <c r="G305" s="134"/>
      <c r="H305" s="134"/>
    </row>
    <row r="306" spans="1:8" x14ac:dyDescent="0.2">
      <c r="A306" s="134"/>
      <c r="B306" s="134"/>
      <c r="C306" s="134"/>
      <c r="D306" s="134"/>
      <c r="E306" s="134"/>
      <c r="F306" s="134"/>
      <c r="G306" s="134"/>
      <c r="H306" s="134"/>
    </row>
    <row r="307" spans="1:8" x14ac:dyDescent="0.2">
      <c r="A307" s="134"/>
      <c r="B307" s="134"/>
      <c r="C307" s="134"/>
      <c r="D307" s="134"/>
      <c r="E307" s="134"/>
      <c r="F307" s="134"/>
      <c r="G307" s="134"/>
      <c r="H307" s="134"/>
    </row>
    <row r="308" spans="1:8" x14ac:dyDescent="0.2">
      <c r="A308" s="134"/>
      <c r="B308" s="134"/>
      <c r="C308" s="134"/>
      <c r="D308" s="134"/>
      <c r="E308" s="134"/>
      <c r="F308" s="134"/>
      <c r="G308" s="134"/>
      <c r="H308" s="134"/>
    </row>
    <row r="309" spans="1:8" x14ac:dyDescent="0.2">
      <c r="A309" s="134"/>
      <c r="B309" s="134"/>
      <c r="C309" s="134"/>
      <c r="D309" s="134"/>
      <c r="E309" s="134"/>
      <c r="F309" s="134"/>
      <c r="G309" s="134"/>
      <c r="H309" s="134"/>
    </row>
    <row r="310" spans="1:8" x14ac:dyDescent="0.2">
      <c r="A310" s="134"/>
      <c r="B310" s="134"/>
      <c r="C310" s="134"/>
      <c r="D310" s="134"/>
      <c r="E310" s="134"/>
      <c r="F310" s="134"/>
      <c r="G310" s="134"/>
      <c r="H310" s="134"/>
    </row>
    <row r="311" spans="1:8" x14ac:dyDescent="0.2">
      <c r="A311" s="134"/>
      <c r="B311" s="134"/>
      <c r="C311" s="134"/>
      <c r="D311" s="134"/>
      <c r="E311" s="134"/>
      <c r="F311" s="134"/>
      <c r="G311" s="134"/>
      <c r="H311" s="134"/>
    </row>
    <row r="312" spans="1:8" x14ac:dyDescent="0.2">
      <c r="A312" s="134"/>
      <c r="B312" s="134"/>
      <c r="C312" s="134"/>
      <c r="D312" s="134"/>
      <c r="E312" s="134"/>
      <c r="F312" s="134"/>
      <c r="G312" s="134"/>
      <c r="H312" s="134"/>
    </row>
    <row r="313" spans="1:8" x14ac:dyDescent="0.2">
      <c r="A313" s="134"/>
      <c r="B313" s="134"/>
      <c r="C313" s="134"/>
      <c r="D313" s="134"/>
      <c r="E313" s="134"/>
      <c r="F313" s="134"/>
      <c r="G313" s="134"/>
      <c r="H313" s="134"/>
    </row>
    <row r="314" spans="1:8" x14ac:dyDescent="0.2">
      <c r="A314" s="134"/>
      <c r="B314" s="134"/>
      <c r="C314" s="134"/>
      <c r="D314" s="134"/>
      <c r="E314" s="134"/>
      <c r="F314" s="134"/>
      <c r="G314" s="134"/>
      <c r="H314" s="134"/>
    </row>
    <row r="315" spans="1:8" x14ac:dyDescent="0.2">
      <c r="A315" s="134"/>
      <c r="B315" s="134"/>
      <c r="C315" s="134"/>
      <c r="D315" s="134"/>
      <c r="E315" s="134"/>
      <c r="F315" s="134"/>
      <c r="G315" s="134"/>
      <c r="H315" s="134"/>
    </row>
    <row r="316" spans="1:8" x14ac:dyDescent="0.2">
      <c r="A316" s="134"/>
      <c r="B316" s="134"/>
      <c r="C316" s="134"/>
      <c r="D316" s="134"/>
      <c r="E316" s="134"/>
      <c r="F316" s="134"/>
      <c r="G316" s="134"/>
      <c r="H316" s="134"/>
    </row>
    <row r="317" spans="1:8" x14ac:dyDescent="0.2">
      <c r="A317" s="134"/>
      <c r="B317" s="134"/>
      <c r="C317" s="134"/>
      <c r="D317" s="134"/>
      <c r="E317" s="134"/>
      <c r="F317" s="134"/>
      <c r="G317" s="134"/>
      <c r="H317" s="134"/>
    </row>
    <row r="318" spans="1:8" x14ac:dyDescent="0.2">
      <c r="A318" s="134"/>
      <c r="B318" s="134"/>
      <c r="C318" s="134"/>
      <c r="D318" s="134"/>
      <c r="E318" s="134"/>
      <c r="F318" s="134"/>
      <c r="G318" s="134"/>
      <c r="H318" s="134"/>
    </row>
    <row r="319" spans="1:8" x14ac:dyDescent="0.2">
      <c r="A319" s="134"/>
      <c r="B319" s="134"/>
      <c r="C319" s="134"/>
      <c r="D319" s="134"/>
      <c r="E319" s="134"/>
      <c r="F319" s="134"/>
      <c r="G319" s="134"/>
      <c r="H319" s="134"/>
    </row>
    <row r="320" spans="1:8" x14ac:dyDescent="0.2">
      <c r="A320" s="134"/>
      <c r="B320" s="134"/>
      <c r="C320" s="134"/>
      <c r="D320" s="134"/>
      <c r="E320" s="134"/>
      <c r="F320" s="134"/>
      <c r="G320" s="134"/>
      <c r="H320" s="134"/>
    </row>
    <row r="321" spans="1:8" x14ac:dyDescent="0.2">
      <c r="A321" s="134"/>
      <c r="B321" s="134"/>
      <c r="C321" s="134"/>
      <c r="D321" s="134"/>
      <c r="E321" s="134"/>
      <c r="F321" s="134"/>
      <c r="G321" s="134"/>
      <c r="H321" s="134"/>
    </row>
    <row r="322" spans="1:8" x14ac:dyDescent="0.2">
      <c r="A322" s="134"/>
      <c r="B322" s="134"/>
      <c r="C322" s="134"/>
      <c r="D322" s="134"/>
      <c r="E322" s="134"/>
      <c r="F322" s="134"/>
      <c r="G322" s="134"/>
      <c r="H322" s="134"/>
    </row>
    <row r="323" spans="1:8" x14ac:dyDescent="0.2">
      <c r="A323" s="134"/>
      <c r="B323" s="134"/>
      <c r="C323" s="134"/>
      <c r="D323" s="134"/>
      <c r="E323" s="134"/>
      <c r="F323" s="134"/>
      <c r="G323" s="134"/>
      <c r="H323" s="134"/>
    </row>
    <row r="324" spans="1:8" x14ac:dyDescent="0.2">
      <c r="A324" s="134"/>
      <c r="B324" s="134"/>
      <c r="C324" s="134"/>
      <c r="D324" s="134"/>
      <c r="E324" s="134"/>
      <c r="F324" s="134"/>
      <c r="G324" s="134"/>
      <c r="H324" s="134"/>
    </row>
    <row r="325" spans="1:8" x14ac:dyDescent="0.2">
      <c r="A325" s="134"/>
      <c r="B325" s="134"/>
      <c r="C325" s="134"/>
      <c r="D325" s="134"/>
      <c r="E325" s="134"/>
      <c r="F325" s="134"/>
      <c r="G325" s="134"/>
      <c r="H325" s="134"/>
    </row>
    <row r="326" spans="1:8" x14ac:dyDescent="0.2">
      <c r="A326" s="134"/>
      <c r="B326" s="134"/>
      <c r="C326" s="134"/>
      <c r="D326" s="134"/>
      <c r="E326" s="134"/>
      <c r="F326" s="134"/>
      <c r="G326" s="134"/>
      <c r="H326" s="134"/>
    </row>
    <row r="327" spans="1:8" x14ac:dyDescent="0.2">
      <c r="A327" s="134"/>
      <c r="B327" s="134"/>
      <c r="C327" s="134"/>
      <c r="D327" s="134"/>
      <c r="E327" s="134"/>
      <c r="F327" s="134"/>
      <c r="G327" s="134"/>
      <c r="H327" s="134"/>
    </row>
    <row r="328" spans="1:8" x14ac:dyDescent="0.2">
      <c r="A328" s="134"/>
      <c r="B328" s="134"/>
      <c r="C328" s="134"/>
      <c r="D328" s="134"/>
      <c r="E328" s="134"/>
      <c r="F328" s="134"/>
      <c r="G328" s="134"/>
      <c r="H328" s="134"/>
    </row>
    <row r="329" spans="1:8" x14ac:dyDescent="0.2">
      <c r="A329" s="134"/>
      <c r="B329" s="134"/>
      <c r="C329" s="134"/>
      <c r="D329" s="134"/>
      <c r="E329" s="134"/>
      <c r="F329" s="134"/>
      <c r="G329" s="134"/>
      <c r="H329" s="134"/>
    </row>
    <row r="330" spans="1:8" x14ac:dyDescent="0.2">
      <c r="A330" s="134"/>
      <c r="B330" s="134"/>
      <c r="C330" s="134"/>
      <c r="D330" s="134"/>
      <c r="E330" s="134"/>
      <c r="F330" s="134"/>
      <c r="G330" s="134"/>
      <c r="H330" s="134"/>
    </row>
  </sheetData>
  <dataConsolidate/>
  <phoneticPr fontId="2" type="noConversion"/>
  <printOptions gridLinesSet="0"/>
  <pageMargins left="0.75" right="0.75" top="0.39370078740157483" bottom="1" header="0.511811024" footer="0.511811024"/>
  <pageSetup scale="76" orientation="landscape" r:id="rId1"/>
  <headerFooter alignWithMargins="0">
    <oddFooter>&amp;L&amp;"MS Sans Serif"&amp;10FECHA :&amp;D&amp;C&amp;"MS Sans Serif"&amp;10HOJA &amp;P DE &amp;N&amp;R&amp;"MS Sans Serif"&amp;10FILE :&amp;F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99"/>
  <sheetViews>
    <sheetView workbookViewId="0">
      <selection activeCell="B3" sqref="B3"/>
    </sheetView>
  </sheetViews>
  <sheetFormatPr baseColWidth="10" defaultRowHeight="12.75" x14ac:dyDescent="0.2"/>
  <cols>
    <col min="1" max="16384" width="11.42578125" style="136"/>
  </cols>
  <sheetData>
    <row r="2" spans="2:11" x14ac:dyDescent="0.2">
      <c r="B2" s="136" t="s">
        <v>127</v>
      </c>
    </row>
    <row r="7" spans="2:11" ht="13.5" thickBot="1" x14ac:dyDescent="0.25">
      <c r="B7" s="137"/>
      <c r="C7" s="137"/>
      <c r="D7" s="137"/>
      <c r="E7" s="137"/>
      <c r="F7" s="137"/>
      <c r="G7" s="137"/>
      <c r="H7" s="137"/>
      <c r="I7" s="137"/>
      <c r="J7" s="137"/>
      <c r="K7" s="137"/>
    </row>
    <row r="8" spans="2:11" ht="13.5" thickTop="1" x14ac:dyDescent="0.2">
      <c r="B8" s="138" t="s">
        <v>128</v>
      </c>
      <c r="C8" s="139"/>
      <c r="D8" s="139"/>
      <c r="E8" s="139"/>
      <c r="F8" s="139"/>
      <c r="G8" s="139"/>
      <c r="H8" s="139"/>
      <c r="I8" s="139"/>
      <c r="J8" s="139"/>
      <c r="K8" s="140"/>
    </row>
    <row r="9" spans="2:11" x14ac:dyDescent="0.2">
      <c r="B9" s="141" t="s">
        <v>73</v>
      </c>
      <c r="C9" s="142"/>
      <c r="D9" s="142"/>
      <c r="E9" s="142"/>
      <c r="F9" s="142"/>
      <c r="G9" s="142"/>
      <c r="H9" s="142"/>
      <c r="I9" s="142"/>
      <c r="J9" s="142"/>
      <c r="K9" s="143"/>
    </row>
    <row r="10" spans="2:11" x14ac:dyDescent="0.2">
      <c r="B10" s="141" t="s">
        <v>96</v>
      </c>
      <c r="C10" s="142">
        <v>180000</v>
      </c>
      <c r="D10" s="142">
        <f t="shared" ref="D10:K18" si="0">C10</f>
        <v>180000</v>
      </c>
      <c r="E10" s="142">
        <f t="shared" si="0"/>
        <v>180000</v>
      </c>
      <c r="F10" s="142">
        <f t="shared" si="0"/>
        <v>180000</v>
      </c>
      <c r="G10" s="142">
        <f t="shared" si="0"/>
        <v>180000</v>
      </c>
      <c r="H10" s="142">
        <f t="shared" si="0"/>
        <v>180000</v>
      </c>
      <c r="I10" s="142">
        <f t="shared" si="0"/>
        <v>180000</v>
      </c>
      <c r="J10" s="142">
        <f t="shared" si="0"/>
        <v>180000</v>
      </c>
      <c r="K10" s="143">
        <f t="shared" si="0"/>
        <v>180000</v>
      </c>
    </row>
    <row r="11" spans="2:11" x14ac:dyDescent="0.2">
      <c r="B11" s="141" t="s">
        <v>98</v>
      </c>
      <c r="C11" s="142">
        <v>112000</v>
      </c>
      <c r="D11" s="142">
        <f t="shared" si="0"/>
        <v>112000</v>
      </c>
      <c r="E11" s="142">
        <f t="shared" si="0"/>
        <v>112000</v>
      </c>
      <c r="F11" s="142">
        <f t="shared" si="0"/>
        <v>112000</v>
      </c>
      <c r="G11" s="142">
        <f t="shared" si="0"/>
        <v>112000</v>
      </c>
      <c r="H11" s="142">
        <f t="shared" si="0"/>
        <v>112000</v>
      </c>
      <c r="I11" s="142">
        <f t="shared" si="0"/>
        <v>112000</v>
      </c>
      <c r="J11" s="142">
        <f t="shared" si="0"/>
        <v>112000</v>
      </c>
      <c r="K11" s="143">
        <f t="shared" si="0"/>
        <v>112000</v>
      </c>
    </row>
    <row r="12" spans="2:11" x14ac:dyDescent="0.2">
      <c r="B12" s="141" t="s">
        <v>100</v>
      </c>
      <c r="C12" s="142">
        <v>45000</v>
      </c>
      <c r="D12" s="142">
        <f t="shared" si="0"/>
        <v>45000</v>
      </c>
      <c r="E12" s="142">
        <f t="shared" si="0"/>
        <v>45000</v>
      </c>
      <c r="F12" s="142">
        <f t="shared" si="0"/>
        <v>45000</v>
      </c>
      <c r="G12" s="142">
        <f t="shared" si="0"/>
        <v>45000</v>
      </c>
      <c r="H12" s="142">
        <f t="shared" si="0"/>
        <v>45000</v>
      </c>
      <c r="I12" s="142">
        <f t="shared" si="0"/>
        <v>45000</v>
      </c>
      <c r="J12" s="142">
        <f t="shared" si="0"/>
        <v>45000</v>
      </c>
      <c r="K12" s="143">
        <f t="shared" si="0"/>
        <v>45000</v>
      </c>
    </row>
    <row r="13" spans="2:11" x14ac:dyDescent="0.2">
      <c r="B13" s="141" t="s">
        <v>102</v>
      </c>
      <c r="C13" s="142">
        <v>96000</v>
      </c>
      <c r="D13" s="142">
        <f t="shared" si="0"/>
        <v>96000</v>
      </c>
      <c r="E13" s="142">
        <f t="shared" si="0"/>
        <v>96000</v>
      </c>
      <c r="F13" s="142">
        <f t="shared" si="0"/>
        <v>96000</v>
      </c>
      <c r="G13" s="142">
        <f t="shared" si="0"/>
        <v>96000</v>
      </c>
      <c r="H13" s="142">
        <f t="shared" si="0"/>
        <v>96000</v>
      </c>
      <c r="I13" s="142">
        <f t="shared" si="0"/>
        <v>96000</v>
      </c>
      <c r="J13" s="142">
        <f t="shared" si="0"/>
        <v>96000</v>
      </c>
      <c r="K13" s="143">
        <f t="shared" si="0"/>
        <v>96000</v>
      </c>
    </row>
    <row r="14" spans="2:11" x14ac:dyDescent="0.2">
      <c r="B14" s="141" t="s">
        <v>104</v>
      </c>
      <c r="C14" s="142">
        <v>105000</v>
      </c>
      <c r="D14" s="142">
        <f t="shared" si="0"/>
        <v>105000</v>
      </c>
      <c r="E14" s="142">
        <f t="shared" si="0"/>
        <v>105000</v>
      </c>
      <c r="F14" s="142">
        <f t="shared" si="0"/>
        <v>105000</v>
      </c>
      <c r="G14" s="142">
        <f t="shared" si="0"/>
        <v>105000</v>
      </c>
      <c r="H14" s="142">
        <f t="shared" si="0"/>
        <v>105000</v>
      </c>
      <c r="I14" s="142">
        <f t="shared" si="0"/>
        <v>105000</v>
      </c>
      <c r="J14" s="142">
        <f t="shared" si="0"/>
        <v>105000</v>
      </c>
      <c r="K14" s="143">
        <f t="shared" si="0"/>
        <v>105000</v>
      </c>
    </row>
    <row r="15" spans="2:11" x14ac:dyDescent="0.2">
      <c r="B15" s="141" t="s">
        <v>106</v>
      </c>
      <c r="C15" s="142">
        <v>55000</v>
      </c>
      <c r="D15" s="142">
        <f t="shared" si="0"/>
        <v>55000</v>
      </c>
      <c r="E15" s="142">
        <f t="shared" si="0"/>
        <v>55000</v>
      </c>
      <c r="F15" s="142">
        <f t="shared" si="0"/>
        <v>55000</v>
      </c>
      <c r="G15" s="142">
        <f t="shared" si="0"/>
        <v>55000</v>
      </c>
      <c r="H15" s="142">
        <f t="shared" si="0"/>
        <v>55000</v>
      </c>
      <c r="I15" s="142">
        <f t="shared" si="0"/>
        <v>55000</v>
      </c>
      <c r="J15" s="142">
        <f t="shared" si="0"/>
        <v>55000</v>
      </c>
      <c r="K15" s="143">
        <f t="shared" si="0"/>
        <v>55000</v>
      </c>
    </row>
    <row r="16" spans="2:11" x14ac:dyDescent="0.2">
      <c r="B16" s="141" t="s">
        <v>108</v>
      </c>
      <c r="C16" s="142">
        <v>60000</v>
      </c>
      <c r="D16" s="142">
        <f t="shared" si="0"/>
        <v>60000</v>
      </c>
      <c r="E16" s="142">
        <f t="shared" si="0"/>
        <v>60000</v>
      </c>
      <c r="F16" s="142">
        <f t="shared" si="0"/>
        <v>60000</v>
      </c>
      <c r="G16" s="142">
        <f t="shared" si="0"/>
        <v>60000</v>
      </c>
      <c r="H16" s="142">
        <f t="shared" si="0"/>
        <v>60000</v>
      </c>
      <c r="I16" s="142">
        <f t="shared" si="0"/>
        <v>60000</v>
      </c>
      <c r="J16" s="142">
        <f t="shared" si="0"/>
        <v>60000</v>
      </c>
      <c r="K16" s="143">
        <f t="shared" si="0"/>
        <v>60000</v>
      </c>
    </row>
    <row r="17" spans="2:11" x14ac:dyDescent="0.2">
      <c r="B17" s="141" t="s">
        <v>129</v>
      </c>
      <c r="C17" s="142">
        <v>0</v>
      </c>
      <c r="D17" s="142">
        <f t="shared" si="0"/>
        <v>0</v>
      </c>
      <c r="E17" s="142">
        <f t="shared" si="0"/>
        <v>0</v>
      </c>
      <c r="F17" s="142">
        <f t="shared" si="0"/>
        <v>0</v>
      </c>
      <c r="G17" s="142">
        <f t="shared" si="0"/>
        <v>0</v>
      </c>
      <c r="H17" s="142">
        <f t="shared" si="0"/>
        <v>0</v>
      </c>
      <c r="I17" s="142">
        <f t="shared" si="0"/>
        <v>0</v>
      </c>
      <c r="J17" s="142">
        <f t="shared" si="0"/>
        <v>0</v>
      </c>
      <c r="K17" s="143">
        <f t="shared" si="0"/>
        <v>0</v>
      </c>
    </row>
    <row r="18" spans="2:11" x14ac:dyDescent="0.2">
      <c r="B18" s="141" t="s">
        <v>130</v>
      </c>
      <c r="C18" s="142">
        <v>0</v>
      </c>
      <c r="D18" s="142">
        <f t="shared" si="0"/>
        <v>0</v>
      </c>
      <c r="E18" s="142">
        <f t="shared" si="0"/>
        <v>0</v>
      </c>
      <c r="F18" s="142">
        <f t="shared" si="0"/>
        <v>0</v>
      </c>
      <c r="G18" s="142">
        <f t="shared" si="0"/>
        <v>0</v>
      </c>
      <c r="H18" s="142">
        <f t="shared" si="0"/>
        <v>0</v>
      </c>
      <c r="I18" s="142">
        <f t="shared" si="0"/>
        <v>0</v>
      </c>
      <c r="J18" s="142">
        <f t="shared" si="0"/>
        <v>0</v>
      </c>
      <c r="K18" s="143">
        <f t="shared" si="0"/>
        <v>0</v>
      </c>
    </row>
    <row r="19" spans="2:11" x14ac:dyDescent="0.2">
      <c r="B19" s="141" t="s">
        <v>131</v>
      </c>
      <c r="C19" s="142">
        <v>0</v>
      </c>
      <c r="D19" s="142">
        <f>C19</f>
        <v>0</v>
      </c>
      <c r="E19" s="142">
        <v>0</v>
      </c>
      <c r="F19" s="142">
        <f t="shared" ref="F19:K22" si="1">E19</f>
        <v>0</v>
      </c>
      <c r="G19" s="142">
        <f t="shared" si="1"/>
        <v>0</v>
      </c>
      <c r="H19" s="142">
        <f t="shared" si="1"/>
        <v>0</v>
      </c>
      <c r="I19" s="142">
        <f t="shared" si="1"/>
        <v>0</v>
      </c>
      <c r="J19" s="142">
        <f t="shared" si="1"/>
        <v>0</v>
      </c>
      <c r="K19" s="143">
        <f t="shared" si="1"/>
        <v>0</v>
      </c>
    </row>
    <row r="20" spans="2:11" x14ac:dyDescent="0.2">
      <c r="B20" s="141" t="s">
        <v>132</v>
      </c>
      <c r="C20" s="142">
        <v>0</v>
      </c>
      <c r="D20" s="142">
        <f>C20</f>
        <v>0</v>
      </c>
      <c r="E20" s="142">
        <f>D20</f>
        <v>0</v>
      </c>
      <c r="F20" s="142">
        <f t="shared" si="1"/>
        <v>0</v>
      </c>
      <c r="G20" s="142">
        <f t="shared" si="1"/>
        <v>0</v>
      </c>
      <c r="H20" s="142">
        <f t="shared" si="1"/>
        <v>0</v>
      </c>
      <c r="I20" s="142">
        <f t="shared" si="1"/>
        <v>0</v>
      </c>
      <c r="J20" s="142">
        <f t="shared" si="1"/>
        <v>0</v>
      </c>
      <c r="K20" s="143">
        <f t="shared" si="1"/>
        <v>0</v>
      </c>
    </row>
    <row r="21" spans="2:11" x14ac:dyDescent="0.2">
      <c r="B21" s="141" t="s">
        <v>133</v>
      </c>
      <c r="C21" s="142">
        <v>0</v>
      </c>
      <c r="D21" s="142">
        <f>C21</f>
        <v>0</v>
      </c>
      <c r="E21" s="142">
        <f>D21</f>
        <v>0</v>
      </c>
      <c r="F21" s="142">
        <f t="shared" si="1"/>
        <v>0</v>
      </c>
      <c r="G21" s="142">
        <f t="shared" si="1"/>
        <v>0</v>
      </c>
      <c r="H21" s="142">
        <f t="shared" si="1"/>
        <v>0</v>
      </c>
      <c r="I21" s="142">
        <f t="shared" si="1"/>
        <v>0</v>
      </c>
      <c r="J21" s="142">
        <f t="shared" si="1"/>
        <v>0</v>
      </c>
      <c r="K21" s="143">
        <f t="shared" si="1"/>
        <v>0</v>
      </c>
    </row>
    <row r="22" spans="2:11" x14ac:dyDescent="0.2">
      <c r="B22" s="141" t="s">
        <v>134</v>
      </c>
      <c r="C22" s="142">
        <v>0</v>
      </c>
      <c r="D22" s="142">
        <f>C22</f>
        <v>0</v>
      </c>
      <c r="E22" s="142">
        <f>D22</f>
        <v>0</v>
      </c>
      <c r="F22" s="142">
        <f t="shared" si="1"/>
        <v>0</v>
      </c>
      <c r="G22" s="142">
        <f t="shared" si="1"/>
        <v>0</v>
      </c>
      <c r="H22" s="142">
        <f t="shared" si="1"/>
        <v>0</v>
      </c>
      <c r="I22" s="142">
        <f t="shared" si="1"/>
        <v>0</v>
      </c>
      <c r="J22" s="142">
        <f t="shared" si="1"/>
        <v>0</v>
      </c>
      <c r="K22" s="143">
        <f t="shared" si="1"/>
        <v>0</v>
      </c>
    </row>
    <row r="23" spans="2:11" x14ac:dyDescent="0.2">
      <c r="B23" s="141"/>
      <c r="C23" s="142"/>
      <c r="D23" s="142"/>
      <c r="E23" s="142"/>
      <c r="F23" s="142"/>
      <c r="G23" s="142"/>
      <c r="H23" s="142"/>
      <c r="I23" s="142"/>
      <c r="J23" s="142"/>
      <c r="K23" s="143"/>
    </row>
    <row r="24" spans="2:11" x14ac:dyDescent="0.2">
      <c r="B24" s="141" t="s">
        <v>15</v>
      </c>
      <c r="C24" s="144">
        <f t="shared" ref="C24:K24" si="2">SUM(C10:C23)</f>
        <v>653000</v>
      </c>
      <c r="D24" s="144">
        <f t="shared" si="2"/>
        <v>653000</v>
      </c>
      <c r="E24" s="144">
        <f t="shared" si="2"/>
        <v>653000</v>
      </c>
      <c r="F24" s="144">
        <f t="shared" si="2"/>
        <v>653000</v>
      </c>
      <c r="G24" s="144">
        <f t="shared" si="2"/>
        <v>653000</v>
      </c>
      <c r="H24" s="144">
        <f t="shared" si="2"/>
        <v>653000</v>
      </c>
      <c r="I24" s="144">
        <f t="shared" si="2"/>
        <v>653000</v>
      </c>
      <c r="J24" s="144">
        <f t="shared" si="2"/>
        <v>653000</v>
      </c>
      <c r="K24" s="145">
        <f t="shared" si="2"/>
        <v>653000</v>
      </c>
    </row>
    <row r="25" spans="2:11" x14ac:dyDescent="0.2">
      <c r="B25" s="141"/>
      <c r="C25" s="142"/>
      <c r="D25" s="142"/>
      <c r="E25" s="142"/>
      <c r="F25" s="142"/>
      <c r="G25" s="142"/>
      <c r="H25" s="142"/>
      <c r="I25" s="142"/>
      <c r="J25" s="142"/>
      <c r="K25" s="143"/>
    </row>
    <row r="26" spans="2:11" ht="13.5" thickBot="1" x14ac:dyDescent="0.25">
      <c r="B26" s="146" t="s">
        <v>50</v>
      </c>
      <c r="C26" s="147">
        <f>C24*Premisas!B27</f>
        <v>52240</v>
      </c>
      <c r="D26" s="147">
        <f>D24*Premisas!C27</f>
        <v>52240</v>
      </c>
      <c r="E26" s="147">
        <f>E24*Premisas!D27</f>
        <v>52240</v>
      </c>
      <c r="F26" s="147">
        <f>F24*Premisas!E27</f>
        <v>52240</v>
      </c>
      <c r="G26" s="147">
        <f>G24*Premisas!F27</f>
        <v>52240</v>
      </c>
      <c r="H26" s="147">
        <f>H24*Premisas!G27</f>
        <v>52240</v>
      </c>
      <c r="I26" s="147">
        <f>I24*Premisas!H27</f>
        <v>52240</v>
      </c>
      <c r="J26" s="147">
        <f>J24*Premisas!I27</f>
        <v>52240</v>
      </c>
      <c r="K26" s="147">
        <f>K24*Premisas!J27</f>
        <v>52240</v>
      </c>
    </row>
    <row r="27" spans="2:11" ht="13.5" thickTop="1" x14ac:dyDescent="0.2"/>
    <row r="28" spans="2:11" ht="13.5" thickBot="1" x14ac:dyDescent="0.25"/>
    <row r="29" spans="2:11" ht="13.5" thickTop="1" x14ac:dyDescent="0.2">
      <c r="B29" s="138" t="s">
        <v>128</v>
      </c>
      <c r="C29" s="139"/>
      <c r="D29" s="139"/>
      <c r="E29" s="139"/>
      <c r="F29" s="139"/>
      <c r="G29" s="139"/>
      <c r="H29" s="139"/>
      <c r="I29" s="139"/>
      <c r="J29" s="139"/>
      <c r="K29" s="140"/>
    </row>
    <row r="30" spans="2:11" x14ac:dyDescent="0.2">
      <c r="B30" s="141" t="s">
        <v>135</v>
      </c>
      <c r="C30" s="142"/>
      <c r="D30" s="142"/>
      <c r="E30" s="142"/>
      <c r="F30" s="142"/>
      <c r="G30" s="142"/>
      <c r="H30" s="142"/>
      <c r="I30" s="142"/>
      <c r="J30" s="142"/>
      <c r="K30" s="143"/>
    </row>
    <row r="31" spans="2:11" x14ac:dyDescent="0.2">
      <c r="B31" s="141" t="s">
        <v>136</v>
      </c>
      <c r="C31" s="142">
        <v>25000</v>
      </c>
      <c r="D31" s="142">
        <f t="shared" ref="D31:K45" si="3">C31</f>
        <v>25000</v>
      </c>
      <c r="E31" s="142">
        <f t="shared" si="3"/>
        <v>25000</v>
      </c>
      <c r="F31" s="142">
        <f t="shared" si="3"/>
        <v>25000</v>
      </c>
      <c r="G31" s="142">
        <f t="shared" si="3"/>
        <v>25000</v>
      </c>
      <c r="H31" s="142">
        <f t="shared" si="3"/>
        <v>25000</v>
      </c>
      <c r="I31" s="142">
        <f t="shared" si="3"/>
        <v>25000</v>
      </c>
      <c r="J31" s="142">
        <f t="shared" si="3"/>
        <v>25000</v>
      </c>
      <c r="K31" s="143">
        <f t="shared" si="3"/>
        <v>25000</v>
      </c>
    </row>
    <row r="32" spans="2:11" x14ac:dyDescent="0.2">
      <c r="B32" s="141" t="s">
        <v>137</v>
      </c>
      <c r="C32" s="142">
        <v>32000</v>
      </c>
      <c r="D32" s="142">
        <f t="shared" si="3"/>
        <v>32000</v>
      </c>
      <c r="E32" s="142">
        <f t="shared" si="3"/>
        <v>32000</v>
      </c>
      <c r="F32" s="142">
        <f t="shared" si="3"/>
        <v>32000</v>
      </c>
      <c r="G32" s="142">
        <f t="shared" si="3"/>
        <v>32000</v>
      </c>
      <c r="H32" s="142">
        <f t="shared" si="3"/>
        <v>32000</v>
      </c>
      <c r="I32" s="142">
        <f t="shared" si="3"/>
        <v>32000</v>
      </c>
      <c r="J32" s="142">
        <f t="shared" si="3"/>
        <v>32000</v>
      </c>
      <c r="K32" s="143">
        <f t="shared" si="3"/>
        <v>32000</v>
      </c>
    </row>
    <row r="33" spans="2:11" x14ac:dyDescent="0.2">
      <c r="B33" s="141" t="s">
        <v>138</v>
      </c>
      <c r="C33" s="142">
        <v>45000</v>
      </c>
      <c r="D33" s="142">
        <f t="shared" si="3"/>
        <v>45000</v>
      </c>
      <c r="E33" s="142">
        <f t="shared" si="3"/>
        <v>45000</v>
      </c>
      <c r="F33" s="142">
        <f t="shared" si="3"/>
        <v>45000</v>
      </c>
      <c r="G33" s="142">
        <f t="shared" si="3"/>
        <v>45000</v>
      </c>
      <c r="H33" s="142">
        <f t="shared" si="3"/>
        <v>45000</v>
      </c>
      <c r="I33" s="142">
        <f t="shared" si="3"/>
        <v>45000</v>
      </c>
      <c r="J33" s="142">
        <f t="shared" si="3"/>
        <v>45000</v>
      </c>
      <c r="K33" s="143">
        <f t="shared" si="3"/>
        <v>45000</v>
      </c>
    </row>
    <row r="34" spans="2:11" x14ac:dyDescent="0.2">
      <c r="B34" s="141" t="s">
        <v>139</v>
      </c>
      <c r="C34" s="142">
        <v>48000</v>
      </c>
      <c r="D34" s="142">
        <f t="shared" si="3"/>
        <v>48000</v>
      </c>
      <c r="E34" s="142">
        <f t="shared" si="3"/>
        <v>48000</v>
      </c>
      <c r="F34" s="142">
        <f t="shared" si="3"/>
        <v>48000</v>
      </c>
      <c r="G34" s="142">
        <f t="shared" si="3"/>
        <v>48000</v>
      </c>
      <c r="H34" s="142">
        <f t="shared" si="3"/>
        <v>48000</v>
      </c>
      <c r="I34" s="142">
        <f t="shared" si="3"/>
        <v>48000</v>
      </c>
      <c r="J34" s="142">
        <f t="shared" si="3"/>
        <v>48000</v>
      </c>
      <c r="K34" s="143">
        <f t="shared" si="3"/>
        <v>48000</v>
      </c>
    </row>
    <row r="35" spans="2:11" x14ac:dyDescent="0.2">
      <c r="B35" s="141" t="s">
        <v>140</v>
      </c>
      <c r="C35" s="142">
        <v>180000</v>
      </c>
      <c r="D35" s="142">
        <f t="shared" si="3"/>
        <v>180000</v>
      </c>
      <c r="E35" s="142">
        <f t="shared" si="3"/>
        <v>180000</v>
      </c>
      <c r="F35" s="142">
        <f t="shared" si="3"/>
        <v>180000</v>
      </c>
      <c r="G35" s="142">
        <f t="shared" si="3"/>
        <v>180000</v>
      </c>
      <c r="H35" s="142">
        <f t="shared" si="3"/>
        <v>180000</v>
      </c>
      <c r="I35" s="142">
        <f t="shared" si="3"/>
        <v>180000</v>
      </c>
      <c r="J35" s="142">
        <f t="shared" si="3"/>
        <v>180000</v>
      </c>
      <c r="K35" s="143">
        <f t="shared" si="3"/>
        <v>180000</v>
      </c>
    </row>
    <row r="36" spans="2:11" x14ac:dyDescent="0.2">
      <c r="B36" s="141" t="s">
        <v>141</v>
      </c>
      <c r="C36" s="142">
        <v>175000</v>
      </c>
      <c r="D36" s="142">
        <f t="shared" si="3"/>
        <v>175000</v>
      </c>
      <c r="E36" s="142">
        <f t="shared" si="3"/>
        <v>175000</v>
      </c>
      <c r="F36" s="142">
        <f t="shared" si="3"/>
        <v>175000</v>
      </c>
      <c r="G36" s="142">
        <f t="shared" si="3"/>
        <v>175000</v>
      </c>
      <c r="H36" s="142">
        <f t="shared" si="3"/>
        <v>175000</v>
      </c>
      <c r="I36" s="142">
        <f t="shared" si="3"/>
        <v>175000</v>
      </c>
      <c r="J36" s="142">
        <f t="shared" si="3"/>
        <v>175000</v>
      </c>
      <c r="K36" s="143">
        <f t="shared" si="3"/>
        <v>175000</v>
      </c>
    </row>
    <row r="37" spans="2:11" x14ac:dyDescent="0.2">
      <c r="B37" s="141" t="s">
        <v>142</v>
      </c>
      <c r="C37" s="142">
        <v>230000</v>
      </c>
      <c r="D37" s="142">
        <f t="shared" si="3"/>
        <v>230000</v>
      </c>
      <c r="E37" s="142">
        <f t="shared" si="3"/>
        <v>230000</v>
      </c>
      <c r="F37" s="142">
        <f t="shared" si="3"/>
        <v>230000</v>
      </c>
      <c r="G37" s="142">
        <f t="shared" si="3"/>
        <v>230000</v>
      </c>
      <c r="H37" s="142">
        <f t="shared" si="3"/>
        <v>230000</v>
      </c>
      <c r="I37" s="142">
        <f t="shared" si="3"/>
        <v>230000</v>
      </c>
      <c r="J37" s="142">
        <f t="shared" si="3"/>
        <v>230000</v>
      </c>
      <c r="K37" s="143">
        <f t="shared" si="3"/>
        <v>230000</v>
      </c>
    </row>
    <row r="38" spans="2:11" x14ac:dyDescent="0.2">
      <c r="B38" s="141" t="s">
        <v>143</v>
      </c>
      <c r="C38" s="142">
        <v>154000</v>
      </c>
      <c r="D38" s="142">
        <f t="shared" si="3"/>
        <v>154000</v>
      </c>
      <c r="E38" s="142">
        <f t="shared" si="3"/>
        <v>154000</v>
      </c>
      <c r="F38" s="142">
        <f t="shared" si="3"/>
        <v>154000</v>
      </c>
      <c r="G38" s="142">
        <f t="shared" si="3"/>
        <v>154000</v>
      </c>
      <c r="H38" s="142">
        <f t="shared" si="3"/>
        <v>154000</v>
      </c>
      <c r="I38" s="142">
        <f t="shared" si="3"/>
        <v>154000</v>
      </c>
      <c r="J38" s="142">
        <f t="shared" si="3"/>
        <v>154000</v>
      </c>
      <c r="K38" s="143">
        <f t="shared" si="3"/>
        <v>154000</v>
      </c>
    </row>
    <row r="39" spans="2:11" x14ac:dyDescent="0.2">
      <c r="B39" s="141" t="s">
        <v>144</v>
      </c>
      <c r="C39" s="142">
        <v>0</v>
      </c>
      <c r="D39" s="142">
        <f t="shared" si="3"/>
        <v>0</v>
      </c>
      <c r="E39" s="142">
        <f t="shared" si="3"/>
        <v>0</v>
      </c>
      <c r="F39" s="142">
        <f t="shared" si="3"/>
        <v>0</v>
      </c>
      <c r="G39" s="142">
        <f t="shared" si="3"/>
        <v>0</v>
      </c>
      <c r="H39" s="142">
        <f t="shared" si="3"/>
        <v>0</v>
      </c>
      <c r="I39" s="142">
        <f t="shared" si="3"/>
        <v>0</v>
      </c>
      <c r="J39" s="142">
        <f t="shared" si="3"/>
        <v>0</v>
      </c>
      <c r="K39" s="143">
        <f t="shared" si="3"/>
        <v>0</v>
      </c>
    </row>
    <row r="40" spans="2:11" x14ac:dyDescent="0.2">
      <c r="B40" s="141" t="s">
        <v>145</v>
      </c>
      <c r="C40" s="142">
        <v>0</v>
      </c>
      <c r="D40" s="142">
        <f t="shared" si="3"/>
        <v>0</v>
      </c>
      <c r="E40" s="142">
        <f t="shared" si="3"/>
        <v>0</v>
      </c>
      <c r="F40" s="142">
        <f t="shared" si="3"/>
        <v>0</v>
      </c>
      <c r="G40" s="142">
        <f t="shared" si="3"/>
        <v>0</v>
      </c>
      <c r="H40" s="142">
        <f t="shared" si="3"/>
        <v>0</v>
      </c>
      <c r="I40" s="142">
        <f t="shared" si="3"/>
        <v>0</v>
      </c>
      <c r="J40" s="142">
        <f t="shared" si="3"/>
        <v>0</v>
      </c>
      <c r="K40" s="143">
        <f t="shared" si="3"/>
        <v>0</v>
      </c>
    </row>
    <row r="41" spans="2:11" x14ac:dyDescent="0.2">
      <c r="B41" s="141" t="s">
        <v>146</v>
      </c>
      <c r="C41" s="142">
        <v>0</v>
      </c>
      <c r="D41" s="142">
        <f t="shared" si="3"/>
        <v>0</v>
      </c>
      <c r="E41" s="142">
        <f t="shared" si="3"/>
        <v>0</v>
      </c>
      <c r="F41" s="142">
        <f t="shared" si="3"/>
        <v>0</v>
      </c>
      <c r="G41" s="142">
        <f t="shared" si="3"/>
        <v>0</v>
      </c>
      <c r="H41" s="142">
        <f t="shared" si="3"/>
        <v>0</v>
      </c>
      <c r="I41" s="142">
        <f t="shared" si="3"/>
        <v>0</v>
      </c>
      <c r="J41" s="142">
        <f t="shared" si="3"/>
        <v>0</v>
      </c>
      <c r="K41" s="143">
        <f t="shared" si="3"/>
        <v>0</v>
      </c>
    </row>
    <row r="42" spans="2:11" x14ac:dyDescent="0.2">
      <c r="B42" s="141" t="s">
        <v>147</v>
      </c>
      <c r="C42" s="142">
        <v>0</v>
      </c>
      <c r="D42" s="142">
        <f t="shared" si="3"/>
        <v>0</v>
      </c>
      <c r="E42" s="142">
        <f t="shared" si="3"/>
        <v>0</v>
      </c>
      <c r="F42" s="142">
        <f t="shared" si="3"/>
        <v>0</v>
      </c>
      <c r="G42" s="142">
        <f t="shared" si="3"/>
        <v>0</v>
      </c>
      <c r="H42" s="142">
        <f t="shared" si="3"/>
        <v>0</v>
      </c>
      <c r="I42" s="142">
        <f t="shared" si="3"/>
        <v>0</v>
      </c>
      <c r="J42" s="142">
        <f t="shared" si="3"/>
        <v>0</v>
      </c>
      <c r="K42" s="143">
        <f t="shared" si="3"/>
        <v>0</v>
      </c>
    </row>
    <row r="43" spans="2:11" x14ac:dyDescent="0.2">
      <c r="B43" s="141" t="s">
        <v>148</v>
      </c>
      <c r="C43" s="142">
        <v>0</v>
      </c>
      <c r="D43" s="142">
        <f t="shared" si="3"/>
        <v>0</v>
      </c>
      <c r="E43" s="142">
        <f t="shared" si="3"/>
        <v>0</v>
      </c>
      <c r="F43" s="142">
        <f t="shared" si="3"/>
        <v>0</v>
      </c>
      <c r="G43" s="142">
        <f t="shared" si="3"/>
        <v>0</v>
      </c>
      <c r="H43" s="142">
        <f t="shared" si="3"/>
        <v>0</v>
      </c>
      <c r="I43" s="142">
        <f t="shared" si="3"/>
        <v>0</v>
      </c>
      <c r="J43" s="142">
        <f t="shared" si="3"/>
        <v>0</v>
      </c>
      <c r="K43" s="143">
        <f t="shared" si="3"/>
        <v>0</v>
      </c>
    </row>
    <row r="44" spans="2:11" x14ac:dyDescent="0.2">
      <c r="B44" s="141" t="s">
        <v>149</v>
      </c>
      <c r="C44" s="142">
        <v>0</v>
      </c>
      <c r="D44" s="142">
        <f t="shared" si="3"/>
        <v>0</v>
      </c>
      <c r="E44" s="142">
        <f t="shared" si="3"/>
        <v>0</v>
      </c>
      <c r="F44" s="142">
        <f t="shared" si="3"/>
        <v>0</v>
      </c>
      <c r="G44" s="142">
        <f t="shared" si="3"/>
        <v>0</v>
      </c>
      <c r="H44" s="142">
        <f t="shared" si="3"/>
        <v>0</v>
      </c>
      <c r="I44" s="142">
        <f t="shared" si="3"/>
        <v>0</v>
      </c>
      <c r="J44" s="142">
        <f t="shared" si="3"/>
        <v>0</v>
      </c>
      <c r="K44" s="143">
        <f t="shared" si="3"/>
        <v>0</v>
      </c>
    </row>
    <row r="45" spans="2:11" x14ac:dyDescent="0.2">
      <c r="B45" s="141" t="s">
        <v>150</v>
      </c>
      <c r="C45" s="142">
        <v>0</v>
      </c>
      <c r="D45" s="142">
        <f t="shared" si="3"/>
        <v>0</v>
      </c>
      <c r="E45" s="142">
        <f t="shared" si="3"/>
        <v>0</v>
      </c>
      <c r="F45" s="142">
        <f t="shared" si="3"/>
        <v>0</v>
      </c>
      <c r="G45" s="142">
        <f t="shared" si="3"/>
        <v>0</v>
      </c>
      <c r="H45" s="142">
        <f t="shared" si="3"/>
        <v>0</v>
      </c>
      <c r="I45" s="142">
        <f t="shared" si="3"/>
        <v>0</v>
      </c>
      <c r="J45" s="142">
        <f t="shared" si="3"/>
        <v>0</v>
      </c>
      <c r="K45" s="143">
        <f t="shared" si="3"/>
        <v>0</v>
      </c>
    </row>
    <row r="46" spans="2:11" x14ac:dyDescent="0.2">
      <c r="B46" s="141"/>
      <c r="C46" s="142"/>
      <c r="D46" s="142"/>
      <c r="E46" s="142"/>
      <c r="F46" s="142"/>
      <c r="G46" s="142"/>
      <c r="H46" s="142"/>
      <c r="I46" s="142"/>
      <c r="J46" s="142"/>
      <c r="K46" s="143"/>
    </row>
    <row r="47" spans="2:11" x14ac:dyDescent="0.2">
      <c r="B47" s="141" t="s">
        <v>15</v>
      </c>
      <c r="C47" s="144">
        <f t="shared" ref="C47:K47" si="4">SUM(C31:C46)</f>
        <v>889000</v>
      </c>
      <c r="D47" s="144">
        <f t="shared" si="4"/>
        <v>889000</v>
      </c>
      <c r="E47" s="144">
        <f t="shared" si="4"/>
        <v>889000</v>
      </c>
      <c r="F47" s="144">
        <f t="shared" si="4"/>
        <v>889000</v>
      </c>
      <c r="G47" s="144">
        <f t="shared" si="4"/>
        <v>889000</v>
      </c>
      <c r="H47" s="144">
        <f t="shared" si="4"/>
        <v>889000</v>
      </c>
      <c r="I47" s="144">
        <f t="shared" si="4"/>
        <v>889000</v>
      </c>
      <c r="J47" s="144">
        <f t="shared" si="4"/>
        <v>889000</v>
      </c>
      <c r="K47" s="145">
        <f t="shared" si="4"/>
        <v>889000</v>
      </c>
    </row>
    <row r="48" spans="2:11" x14ac:dyDescent="0.2">
      <c r="B48" s="141"/>
      <c r="C48" s="142"/>
      <c r="D48" s="142"/>
      <c r="E48" s="142"/>
      <c r="F48" s="142"/>
      <c r="G48" s="142"/>
      <c r="H48" s="142"/>
      <c r="I48" s="142"/>
      <c r="J48" s="142"/>
      <c r="K48" s="143"/>
    </row>
    <row r="49" spans="2:11" ht="13.5" thickBot="1" x14ac:dyDescent="0.25">
      <c r="B49" s="146" t="s">
        <v>50</v>
      </c>
      <c r="C49" s="147">
        <f>C47*Premisas!B28</f>
        <v>177800</v>
      </c>
      <c r="D49" s="147">
        <f>D47*Premisas!C28</f>
        <v>177800</v>
      </c>
      <c r="E49" s="147">
        <f>E47*Premisas!D28</f>
        <v>177800</v>
      </c>
      <c r="F49" s="147">
        <f>F47*Premisas!E28</f>
        <v>177800</v>
      </c>
      <c r="G49" s="147">
        <f>G47*Premisas!F28</f>
        <v>177800</v>
      </c>
      <c r="H49" s="147">
        <f>H47*Premisas!G28</f>
        <v>177800</v>
      </c>
      <c r="I49" s="147">
        <f>I47*Premisas!H28</f>
        <v>177800</v>
      </c>
      <c r="J49" s="147">
        <f>J47*Premisas!I28</f>
        <v>177800</v>
      </c>
      <c r="K49" s="147">
        <f>K47*Premisas!J28</f>
        <v>177800</v>
      </c>
    </row>
    <row r="50" spans="2:11" ht="13.5" thickTop="1" x14ac:dyDescent="0.2"/>
    <row r="51" spans="2:11" ht="13.5" thickBot="1" x14ac:dyDescent="0.25"/>
    <row r="52" spans="2:11" ht="13.5" thickTop="1" x14ac:dyDescent="0.2">
      <c r="B52" s="138" t="s">
        <v>128</v>
      </c>
      <c r="C52" s="139"/>
      <c r="D52" s="139"/>
      <c r="E52" s="139"/>
      <c r="F52" s="139"/>
      <c r="G52" s="139"/>
      <c r="H52" s="139"/>
      <c r="I52" s="139"/>
      <c r="J52" s="139"/>
      <c r="K52" s="140"/>
    </row>
    <row r="53" spans="2:11" x14ac:dyDescent="0.2">
      <c r="B53" s="141" t="s">
        <v>151</v>
      </c>
      <c r="C53" s="142"/>
      <c r="D53" s="142"/>
      <c r="E53" s="142"/>
      <c r="F53" s="142"/>
      <c r="G53" s="142"/>
      <c r="H53" s="142"/>
      <c r="I53" s="142"/>
      <c r="J53" s="142"/>
      <c r="K53" s="143"/>
    </row>
    <row r="54" spans="2:11" x14ac:dyDescent="0.2">
      <c r="B54" s="141" t="s">
        <v>152</v>
      </c>
      <c r="C54" s="142">
        <v>180000</v>
      </c>
      <c r="D54" s="142">
        <f t="shared" ref="D54:K59" si="5">C54</f>
        <v>180000</v>
      </c>
      <c r="E54" s="142">
        <f t="shared" si="5"/>
        <v>180000</v>
      </c>
      <c r="F54" s="142">
        <f t="shared" si="5"/>
        <v>180000</v>
      </c>
      <c r="G54" s="142">
        <f t="shared" si="5"/>
        <v>180000</v>
      </c>
      <c r="H54" s="142">
        <f t="shared" si="5"/>
        <v>180000</v>
      </c>
      <c r="I54" s="142">
        <f t="shared" si="5"/>
        <v>180000</v>
      </c>
      <c r="J54" s="142">
        <f t="shared" si="5"/>
        <v>180000</v>
      </c>
      <c r="K54" s="143">
        <f t="shared" si="5"/>
        <v>180000</v>
      </c>
    </row>
    <row r="55" spans="2:11" x14ac:dyDescent="0.2">
      <c r="B55" s="141" t="s">
        <v>153</v>
      </c>
      <c r="C55" s="142">
        <v>112000</v>
      </c>
      <c r="D55" s="142">
        <f t="shared" si="5"/>
        <v>112000</v>
      </c>
      <c r="E55" s="142">
        <f t="shared" si="5"/>
        <v>112000</v>
      </c>
      <c r="F55" s="142">
        <f t="shared" si="5"/>
        <v>112000</v>
      </c>
      <c r="G55" s="142">
        <f t="shared" si="5"/>
        <v>112000</v>
      </c>
      <c r="H55" s="142">
        <f t="shared" si="5"/>
        <v>112000</v>
      </c>
      <c r="I55" s="142">
        <f t="shared" si="5"/>
        <v>112000</v>
      </c>
      <c r="J55" s="142">
        <f t="shared" si="5"/>
        <v>112000</v>
      </c>
      <c r="K55" s="143">
        <f t="shared" si="5"/>
        <v>112000</v>
      </c>
    </row>
    <row r="56" spans="2:11" x14ac:dyDescent="0.2">
      <c r="B56" s="141" t="s">
        <v>154</v>
      </c>
      <c r="C56" s="142">
        <v>45000</v>
      </c>
      <c r="D56" s="142">
        <f t="shared" si="5"/>
        <v>45000</v>
      </c>
      <c r="E56" s="142">
        <f t="shared" si="5"/>
        <v>45000</v>
      </c>
      <c r="F56" s="142">
        <f t="shared" si="5"/>
        <v>45000</v>
      </c>
      <c r="G56" s="142">
        <f t="shared" si="5"/>
        <v>45000</v>
      </c>
      <c r="H56" s="142">
        <f t="shared" si="5"/>
        <v>45000</v>
      </c>
      <c r="I56" s="142">
        <f t="shared" si="5"/>
        <v>45000</v>
      </c>
      <c r="J56" s="142">
        <f t="shared" si="5"/>
        <v>45000</v>
      </c>
      <c r="K56" s="143">
        <f t="shared" si="5"/>
        <v>45000</v>
      </c>
    </row>
    <row r="57" spans="2:11" x14ac:dyDescent="0.2">
      <c r="B57" s="141" t="s">
        <v>155</v>
      </c>
      <c r="C57" s="142">
        <v>96000</v>
      </c>
      <c r="D57" s="142">
        <f t="shared" si="5"/>
        <v>96000</v>
      </c>
      <c r="E57" s="142">
        <f t="shared" si="5"/>
        <v>96000</v>
      </c>
      <c r="F57" s="142">
        <f t="shared" si="5"/>
        <v>96000</v>
      </c>
      <c r="G57" s="142">
        <f t="shared" si="5"/>
        <v>96000</v>
      </c>
      <c r="H57" s="142">
        <f t="shared" si="5"/>
        <v>96000</v>
      </c>
      <c r="I57" s="142">
        <f t="shared" si="5"/>
        <v>96000</v>
      </c>
      <c r="J57" s="142">
        <f t="shared" si="5"/>
        <v>96000</v>
      </c>
      <c r="K57" s="143">
        <f t="shared" si="5"/>
        <v>96000</v>
      </c>
    </row>
    <row r="58" spans="2:11" x14ac:dyDescent="0.2">
      <c r="B58" s="141" t="s">
        <v>156</v>
      </c>
      <c r="C58" s="142">
        <v>0</v>
      </c>
      <c r="D58" s="142">
        <f t="shared" si="5"/>
        <v>0</v>
      </c>
      <c r="E58" s="142">
        <f t="shared" si="5"/>
        <v>0</v>
      </c>
      <c r="F58" s="142">
        <f t="shared" si="5"/>
        <v>0</v>
      </c>
      <c r="G58" s="142">
        <f t="shared" si="5"/>
        <v>0</v>
      </c>
      <c r="H58" s="142">
        <f t="shared" si="5"/>
        <v>0</v>
      </c>
      <c r="I58" s="142">
        <f t="shared" si="5"/>
        <v>0</v>
      </c>
      <c r="J58" s="142">
        <f t="shared" si="5"/>
        <v>0</v>
      </c>
      <c r="K58" s="143">
        <f t="shared" si="5"/>
        <v>0</v>
      </c>
    </row>
    <row r="59" spans="2:11" x14ac:dyDescent="0.2">
      <c r="B59" s="141" t="s">
        <v>157</v>
      </c>
      <c r="C59" s="142">
        <v>0</v>
      </c>
      <c r="D59" s="142">
        <f t="shared" si="5"/>
        <v>0</v>
      </c>
      <c r="E59" s="142">
        <f t="shared" si="5"/>
        <v>0</v>
      </c>
      <c r="F59" s="142">
        <f t="shared" si="5"/>
        <v>0</v>
      </c>
      <c r="G59" s="142">
        <f t="shared" si="5"/>
        <v>0</v>
      </c>
      <c r="H59" s="142">
        <f t="shared" si="5"/>
        <v>0</v>
      </c>
      <c r="I59" s="142">
        <f t="shared" si="5"/>
        <v>0</v>
      </c>
      <c r="J59" s="142">
        <f t="shared" si="5"/>
        <v>0</v>
      </c>
      <c r="K59" s="143">
        <f t="shared" si="5"/>
        <v>0</v>
      </c>
    </row>
    <row r="60" spans="2:11" x14ac:dyDescent="0.2">
      <c r="B60" s="141" t="s">
        <v>158</v>
      </c>
      <c r="C60" s="142">
        <v>0</v>
      </c>
      <c r="D60" s="142">
        <f>C60</f>
        <v>0</v>
      </c>
      <c r="E60" s="142">
        <v>0</v>
      </c>
      <c r="F60" s="142">
        <f t="shared" ref="F60:K63" si="6">E60</f>
        <v>0</v>
      </c>
      <c r="G60" s="142">
        <f t="shared" si="6"/>
        <v>0</v>
      </c>
      <c r="H60" s="142">
        <f t="shared" si="6"/>
        <v>0</v>
      </c>
      <c r="I60" s="142">
        <f t="shared" si="6"/>
        <v>0</v>
      </c>
      <c r="J60" s="142">
        <f t="shared" si="6"/>
        <v>0</v>
      </c>
      <c r="K60" s="143">
        <f t="shared" si="6"/>
        <v>0</v>
      </c>
    </row>
    <row r="61" spans="2:11" x14ac:dyDescent="0.2">
      <c r="B61" s="141" t="s">
        <v>159</v>
      </c>
      <c r="C61" s="142">
        <v>0</v>
      </c>
      <c r="D61" s="142">
        <f>C61</f>
        <v>0</v>
      </c>
      <c r="E61" s="142">
        <f>D61</f>
        <v>0</v>
      </c>
      <c r="F61" s="142">
        <f t="shared" si="6"/>
        <v>0</v>
      </c>
      <c r="G61" s="142">
        <f t="shared" si="6"/>
        <v>0</v>
      </c>
      <c r="H61" s="142">
        <f t="shared" si="6"/>
        <v>0</v>
      </c>
      <c r="I61" s="142">
        <f t="shared" si="6"/>
        <v>0</v>
      </c>
      <c r="J61" s="142">
        <f t="shared" si="6"/>
        <v>0</v>
      </c>
      <c r="K61" s="143">
        <f t="shared" si="6"/>
        <v>0</v>
      </c>
    </row>
    <row r="62" spans="2:11" x14ac:dyDescent="0.2">
      <c r="B62" s="141" t="s">
        <v>160</v>
      </c>
      <c r="C62" s="142">
        <v>0</v>
      </c>
      <c r="D62" s="142">
        <f>C62</f>
        <v>0</v>
      </c>
      <c r="E62" s="142">
        <f>D62</f>
        <v>0</v>
      </c>
      <c r="F62" s="142">
        <f t="shared" si="6"/>
        <v>0</v>
      </c>
      <c r="G62" s="142">
        <f t="shared" si="6"/>
        <v>0</v>
      </c>
      <c r="H62" s="142">
        <f t="shared" si="6"/>
        <v>0</v>
      </c>
      <c r="I62" s="142">
        <f t="shared" si="6"/>
        <v>0</v>
      </c>
      <c r="J62" s="142">
        <f t="shared" si="6"/>
        <v>0</v>
      </c>
      <c r="K62" s="143">
        <f t="shared" si="6"/>
        <v>0</v>
      </c>
    </row>
    <row r="63" spans="2:11" x14ac:dyDescent="0.2">
      <c r="B63" s="141" t="s">
        <v>161</v>
      </c>
      <c r="C63" s="142">
        <v>0</v>
      </c>
      <c r="D63" s="142">
        <f>C63</f>
        <v>0</v>
      </c>
      <c r="E63" s="142">
        <f>D63</f>
        <v>0</v>
      </c>
      <c r="F63" s="142">
        <f t="shared" si="6"/>
        <v>0</v>
      </c>
      <c r="G63" s="142">
        <f t="shared" si="6"/>
        <v>0</v>
      </c>
      <c r="H63" s="142">
        <f t="shared" si="6"/>
        <v>0</v>
      </c>
      <c r="I63" s="142">
        <f t="shared" si="6"/>
        <v>0</v>
      </c>
      <c r="J63" s="142">
        <f t="shared" si="6"/>
        <v>0</v>
      </c>
      <c r="K63" s="143">
        <f t="shared" si="6"/>
        <v>0</v>
      </c>
    </row>
    <row r="64" spans="2:11" x14ac:dyDescent="0.2">
      <c r="B64" s="141"/>
      <c r="C64" s="142"/>
      <c r="D64" s="142"/>
      <c r="E64" s="142"/>
      <c r="F64" s="142"/>
      <c r="G64" s="142"/>
      <c r="H64" s="142"/>
      <c r="I64" s="142"/>
      <c r="J64" s="142"/>
      <c r="K64" s="143"/>
    </row>
    <row r="65" spans="2:11" x14ac:dyDescent="0.2">
      <c r="B65" s="141" t="s">
        <v>15</v>
      </c>
      <c r="C65" s="144">
        <f t="shared" ref="C65:K65" si="7">SUM(C54:C64)</f>
        <v>433000</v>
      </c>
      <c r="D65" s="144">
        <f t="shared" si="7"/>
        <v>433000</v>
      </c>
      <c r="E65" s="144">
        <f t="shared" si="7"/>
        <v>433000</v>
      </c>
      <c r="F65" s="144">
        <f t="shared" si="7"/>
        <v>433000</v>
      </c>
      <c r="G65" s="144">
        <f t="shared" si="7"/>
        <v>433000</v>
      </c>
      <c r="H65" s="144">
        <f t="shared" si="7"/>
        <v>433000</v>
      </c>
      <c r="I65" s="144">
        <f t="shared" si="7"/>
        <v>433000</v>
      </c>
      <c r="J65" s="144">
        <f t="shared" si="7"/>
        <v>433000</v>
      </c>
      <c r="K65" s="145">
        <f t="shared" si="7"/>
        <v>433000</v>
      </c>
    </row>
    <row r="66" spans="2:11" x14ac:dyDescent="0.2">
      <c r="B66" s="141"/>
      <c r="C66" s="142"/>
      <c r="D66" s="142"/>
      <c r="E66" s="142"/>
      <c r="F66" s="142"/>
      <c r="G66" s="142"/>
      <c r="H66" s="142"/>
      <c r="I66" s="142"/>
      <c r="J66" s="142"/>
      <c r="K66" s="143"/>
    </row>
    <row r="67" spans="2:11" ht="13.5" thickBot="1" x14ac:dyDescent="0.25">
      <c r="B67" s="146" t="s">
        <v>50</v>
      </c>
      <c r="C67" s="147">
        <f>C65*Premisas!B26</f>
        <v>21650</v>
      </c>
      <c r="D67" s="147">
        <f>D65*Premisas!C26</f>
        <v>21650</v>
      </c>
      <c r="E67" s="147">
        <f>E65*Premisas!D26</f>
        <v>21650</v>
      </c>
      <c r="F67" s="147">
        <f>F65*Premisas!E26</f>
        <v>21650</v>
      </c>
      <c r="G67" s="147">
        <f>G65*Premisas!F26</f>
        <v>21650</v>
      </c>
      <c r="H67" s="147">
        <f>H65*Premisas!G26</f>
        <v>21650</v>
      </c>
      <c r="I67" s="147">
        <f>I65*Premisas!H26</f>
        <v>21650</v>
      </c>
      <c r="J67" s="147">
        <f>J65*Premisas!I26</f>
        <v>21650</v>
      </c>
      <c r="K67" s="147">
        <f>K65*Premisas!J26</f>
        <v>21650</v>
      </c>
    </row>
    <row r="68" spans="2:11" ht="13.5" thickTop="1" x14ac:dyDescent="0.2"/>
    <row r="69" spans="2:11" ht="13.5" thickBot="1" x14ac:dyDescent="0.25"/>
    <row r="70" spans="2:11" ht="13.5" thickTop="1" x14ac:dyDescent="0.2">
      <c r="B70" s="138" t="s">
        <v>128</v>
      </c>
      <c r="C70" s="139"/>
      <c r="D70" s="139"/>
      <c r="E70" s="139"/>
      <c r="F70" s="139"/>
      <c r="G70" s="139"/>
      <c r="H70" s="139"/>
      <c r="I70" s="139"/>
      <c r="J70" s="139"/>
      <c r="K70" s="140"/>
    </row>
    <row r="71" spans="2:11" x14ac:dyDescent="0.2">
      <c r="B71" s="141" t="s">
        <v>162</v>
      </c>
      <c r="C71" s="142"/>
      <c r="D71" s="142"/>
      <c r="E71" s="142"/>
      <c r="F71" s="142"/>
      <c r="G71" s="142"/>
      <c r="H71" s="142"/>
      <c r="I71" s="142"/>
      <c r="J71" s="142"/>
      <c r="K71" s="143"/>
    </row>
    <row r="72" spans="2:11" x14ac:dyDescent="0.2">
      <c r="B72" s="141" t="s">
        <v>163</v>
      </c>
      <c r="C72" s="142">
        <v>5500</v>
      </c>
      <c r="D72" s="142">
        <f t="shared" ref="D72:K83" si="8">C72</f>
        <v>5500</v>
      </c>
      <c r="E72" s="142">
        <f t="shared" si="8"/>
        <v>5500</v>
      </c>
      <c r="F72" s="142">
        <f t="shared" si="8"/>
        <v>5500</v>
      </c>
      <c r="G72" s="142">
        <f t="shared" si="8"/>
        <v>5500</v>
      </c>
      <c r="H72" s="142">
        <f t="shared" si="8"/>
        <v>5500</v>
      </c>
      <c r="I72" s="142">
        <f t="shared" si="8"/>
        <v>5500</v>
      </c>
      <c r="J72" s="142">
        <f t="shared" si="8"/>
        <v>5500</v>
      </c>
      <c r="K72" s="143">
        <f t="shared" si="8"/>
        <v>5500</v>
      </c>
    </row>
    <row r="73" spans="2:11" x14ac:dyDescent="0.2">
      <c r="B73" s="141" t="s">
        <v>163</v>
      </c>
      <c r="C73" s="142">
        <v>6500</v>
      </c>
      <c r="D73" s="142">
        <f t="shared" si="8"/>
        <v>6500</v>
      </c>
      <c r="E73" s="142">
        <f t="shared" si="8"/>
        <v>6500</v>
      </c>
      <c r="F73" s="142">
        <f t="shared" si="8"/>
        <v>6500</v>
      </c>
      <c r="G73" s="142">
        <f t="shared" si="8"/>
        <v>6500</v>
      </c>
      <c r="H73" s="142">
        <f t="shared" si="8"/>
        <v>6500</v>
      </c>
      <c r="I73" s="142">
        <f t="shared" si="8"/>
        <v>6500</v>
      </c>
      <c r="J73" s="142">
        <f t="shared" si="8"/>
        <v>6500</v>
      </c>
      <c r="K73" s="143">
        <f t="shared" si="8"/>
        <v>6500</v>
      </c>
    </row>
    <row r="74" spans="2:11" x14ac:dyDescent="0.2">
      <c r="B74" s="141" t="s">
        <v>163</v>
      </c>
      <c r="C74" s="142">
        <v>12000</v>
      </c>
      <c r="D74" s="142">
        <f t="shared" si="8"/>
        <v>12000</v>
      </c>
      <c r="E74" s="142">
        <f t="shared" si="8"/>
        <v>12000</v>
      </c>
      <c r="F74" s="142">
        <f t="shared" si="8"/>
        <v>12000</v>
      </c>
      <c r="G74" s="142">
        <f t="shared" si="8"/>
        <v>12000</v>
      </c>
      <c r="H74" s="142">
        <f t="shared" si="8"/>
        <v>12000</v>
      </c>
      <c r="I74" s="142">
        <f t="shared" si="8"/>
        <v>12000</v>
      </c>
      <c r="J74" s="142">
        <f t="shared" si="8"/>
        <v>12000</v>
      </c>
      <c r="K74" s="143">
        <f t="shared" si="8"/>
        <v>12000</v>
      </c>
    </row>
    <row r="75" spans="2:11" x14ac:dyDescent="0.2">
      <c r="B75" s="141" t="s">
        <v>163</v>
      </c>
      <c r="C75" s="142">
        <v>5400</v>
      </c>
      <c r="D75" s="142">
        <f t="shared" si="8"/>
        <v>5400</v>
      </c>
      <c r="E75" s="142">
        <f t="shared" si="8"/>
        <v>5400</v>
      </c>
      <c r="F75" s="142">
        <f t="shared" si="8"/>
        <v>5400</v>
      </c>
      <c r="G75" s="142">
        <f t="shared" si="8"/>
        <v>5400</v>
      </c>
      <c r="H75" s="142">
        <f t="shared" si="8"/>
        <v>5400</v>
      </c>
      <c r="I75" s="142">
        <f t="shared" si="8"/>
        <v>5400</v>
      </c>
      <c r="J75" s="142">
        <f t="shared" si="8"/>
        <v>5400</v>
      </c>
      <c r="K75" s="143">
        <f t="shared" si="8"/>
        <v>5400</v>
      </c>
    </row>
    <row r="76" spans="2:11" x14ac:dyDescent="0.2">
      <c r="B76" s="141" t="s">
        <v>163</v>
      </c>
      <c r="C76" s="142">
        <v>3450</v>
      </c>
      <c r="D76" s="142">
        <f t="shared" si="8"/>
        <v>3450</v>
      </c>
      <c r="E76" s="142">
        <f t="shared" si="8"/>
        <v>3450</v>
      </c>
      <c r="F76" s="142">
        <f t="shared" si="8"/>
        <v>3450</v>
      </c>
      <c r="G76" s="142">
        <f t="shared" si="8"/>
        <v>3450</v>
      </c>
      <c r="H76" s="142">
        <f t="shared" si="8"/>
        <v>3450</v>
      </c>
      <c r="I76" s="142">
        <f t="shared" si="8"/>
        <v>3450</v>
      </c>
      <c r="J76" s="142">
        <f t="shared" si="8"/>
        <v>3450</v>
      </c>
      <c r="K76" s="143">
        <f t="shared" si="8"/>
        <v>3450</v>
      </c>
    </row>
    <row r="77" spans="2:11" x14ac:dyDescent="0.2">
      <c r="B77" s="141" t="s">
        <v>163</v>
      </c>
      <c r="C77" s="142">
        <v>24000</v>
      </c>
      <c r="D77" s="142">
        <f t="shared" si="8"/>
        <v>24000</v>
      </c>
      <c r="E77" s="142">
        <f t="shared" si="8"/>
        <v>24000</v>
      </c>
      <c r="F77" s="142">
        <f t="shared" si="8"/>
        <v>24000</v>
      </c>
      <c r="G77" s="142">
        <f t="shared" si="8"/>
        <v>24000</v>
      </c>
      <c r="H77" s="142">
        <f t="shared" si="8"/>
        <v>24000</v>
      </c>
      <c r="I77" s="142">
        <f t="shared" si="8"/>
        <v>24000</v>
      </c>
      <c r="J77" s="142">
        <f t="shared" si="8"/>
        <v>24000</v>
      </c>
      <c r="K77" s="143">
        <f t="shared" si="8"/>
        <v>24000</v>
      </c>
    </row>
    <row r="78" spans="2:11" x14ac:dyDescent="0.2">
      <c r="B78" s="141" t="s">
        <v>163</v>
      </c>
      <c r="C78" s="142">
        <v>12500</v>
      </c>
      <c r="D78" s="142">
        <f t="shared" si="8"/>
        <v>12500</v>
      </c>
      <c r="E78" s="142">
        <f t="shared" si="8"/>
        <v>12500</v>
      </c>
      <c r="F78" s="142">
        <f t="shared" si="8"/>
        <v>12500</v>
      </c>
      <c r="G78" s="142">
        <f t="shared" si="8"/>
        <v>12500</v>
      </c>
      <c r="H78" s="142">
        <f t="shared" si="8"/>
        <v>12500</v>
      </c>
      <c r="I78" s="142">
        <f t="shared" si="8"/>
        <v>12500</v>
      </c>
      <c r="J78" s="142">
        <f t="shared" si="8"/>
        <v>12500</v>
      </c>
      <c r="K78" s="143">
        <f t="shared" si="8"/>
        <v>12500</v>
      </c>
    </row>
    <row r="79" spans="2:11" x14ac:dyDescent="0.2">
      <c r="B79" s="141" t="s">
        <v>156</v>
      </c>
      <c r="C79" s="142">
        <v>0</v>
      </c>
      <c r="D79" s="142">
        <f t="shared" si="8"/>
        <v>0</v>
      </c>
      <c r="E79" s="142">
        <f t="shared" si="8"/>
        <v>0</v>
      </c>
      <c r="F79" s="142">
        <f t="shared" si="8"/>
        <v>0</v>
      </c>
      <c r="G79" s="142">
        <f t="shared" si="8"/>
        <v>0</v>
      </c>
      <c r="H79" s="142">
        <f t="shared" si="8"/>
        <v>0</v>
      </c>
      <c r="I79" s="142">
        <f t="shared" si="8"/>
        <v>0</v>
      </c>
      <c r="J79" s="142">
        <f t="shared" si="8"/>
        <v>0</v>
      </c>
      <c r="K79" s="143">
        <f t="shared" si="8"/>
        <v>0</v>
      </c>
    </row>
    <row r="80" spans="2:11" x14ac:dyDescent="0.2">
      <c r="B80" s="141" t="s">
        <v>157</v>
      </c>
      <c r="C80" s="142">
        <v>0</v>
      </c>
      <c r="D80" s="142">
        <f t="shared" si="8"/>
        <v>0</v>
      </c>
      <c r="E80" s="142">
        <f t="shared" si="8"/>
        <v>0</v>
      </c>
      <c r="F80" s="142">
        <f t="shared" si="8"/>
        <v>0</v>
      </c>
      <c r="G80" s="142">
        <f t="shared" si="8"/>
        <v>0</v>
      </c>
      <c r="H80" s="142">
        <f t="shared" si="8"/>
        <v>0</v>
      </c>
      <c r="I80" s="142">
        <f t="shared" si="8"/>
        <v>0</v>
      </c>
      <c r="J80" s="142">
        <f t="shared" si="8"/>
        <v>0</v>
      </c>
      <c r="K80" s="143">
        <f t="shared" si="8"/>
        <v>0</v>
      </c>
    </row>
    <row r="81" spans="2:11" x14ac:dyDescent="0.2">
      <c r="B81" s="141" t="s">
        <v>158</v>
      </c>
      <c r="C81" s="142">
        <v>0</v>
      </c>
      <c r="D81" s="142">
        <f t="shared" si="8"/>
        <v>0</v>
      </c>
      <c r="E81" s="142">
        <f t="shared" si="8"/>
        <v>0</v>
      </c>
      <c r="F81" s="142">
        <f t="shared" si="8"/>
        <v>0</v>
      </c>
      <c r="G81" s="142">
        <f t="shared" si="8"/>
        <v>0</v>
      </c>
      <c r="H81" s="142">
        <f t="shared" si="8"/>
        <v>0</v>
      </c>
      <c r="I81" s="142">
        <f t="shared" si="8"/>
        <v>0</v>
      </c>
      <c r="J81" s="142">
        <f t="shared" si="8"/>
        <v>0</v>
      </c>
      <c r="K81" s="143">
        <f t="shared" si="8"/>
        <v>0</v>
      </c>
    </row>
    <row r="82" spans="2:11" x14ac:dyDescent="0.2">
      <c r="B82" s="141" t="s">
        <v>159</v>
      </c>
      <c r="C82" s="142">
        <v>0</v>
      </c>
      <c r="D82" s="142">
        <f t="shared" si="8"/>
        <v>0</v>
      </c>
      <c r="E82" s="142">
        <f t="shared" si="8"/>
        <v>0</v>
      </c>
      <c r="F82" s="142">
        <f t="shared" si="8"/>
        <v>0</v>
      </c>
      <c r="G82" s="142">
        <f t="shared" si="8"/>
        <v>0</v>
      </c>
      <c r="H82" s="142">
        <f t="shared" si="8"/>
        <v>0</v>
      </c>
      <c r="I82" s="142">
        <f t="shared" si="8"/>
        <v>0</v>
      </c>
      <c r="J82" s="142">
        <f t="shared" si="8"/>
        <v>0</v>
      </c>
      <c r="K82" s="143">
        <f t="shared" si="8"/>
        <v>0</v>
      </c>
    </row>
    <row r="83" spans="2:11" x14ac:dyDescent="0.2">
      <c r="B83" s="141" t="s">
        <v>160</v>
      </c>
      <c r="C83" s="142">
        <v>0</v>
      </c>
      <c r="D83" s="142">
        <f t="shared" si="8"/>
        <v>0</v>
      </c>
      <c r="E83" s="142">
        <f t="shared" si="8"/>
        <v>0</v>
      </c>
      <c r="F83" s="142">
        <f t="shared" si="8"/>
        <v>0</v>
      </c>
      <c r="G83" s="142">
        <f t="shared" si="8"/>
        <v>0</v>
      </c>
      <c r="H83" s="142">
        <f t="shared" si="8"/>
        <v>0</v>
      </c>
      <c r="I83" s="142">
        <f t="shared" si="8"/>
        <v>0</v>
      </c>
      <c r="J83" s="142">
        <f t="shared" si="8"/>
        <v>0</v>
      </c>
      <c r="K83" s="143">
        <f t="shared" si="8"/>
        <v>0</v>
      </c>
    </row>
    <row r="84" spans="2:11" x14ac:dyDescent="0.2">
      <c r="B84" s="141"/>
      <c r="C84" s="142"/>
      <c r="D84" s="142"/>
      <c r="E84" s="142"/>
      <c r="F84" s="142"/>
      <c r="G84" s="142"/>
      <c r="H84" s="142"/>
      <c r="I84" s="142"/>
      <c r="J84" s="142"/>
      <c r="K84" s="143"/>
    </row>
    <row r="85" spans="2:11" x14ac:dyDescent="0.2">
      <c r="B85" s="141" t="s">
        <v>15</v>
      </c>
      <c r="C85" s="144">
        <f t="shared" ref="C85:K85" si="9">SUM(C72:C84)</f>
        <v>69350</v>
      </c>
      <c r="D85" s="144">
        <f t="shared" si="9"/>
        <v>69350</v>
      </c>
      <c r="E85" s="144">
        <f t="shared" si="9"/>
        <v>69350</v>
      </c>
      <c r="F85" s="144">
        <f t="shared" si="9"/>
        <v>69350</v>
      </c>
      <c r="G85" s="144">
        <f t="shared" si="9"/>
        <v>69350</v>
      </c>
      <c r="H85" s="144">
        <f t="shared" si="9"/>
        <v>69350</v>
      </c>
      <c r="I85" s="144">
        <f t="shared" si="9"/>
        <v>69350</v>
      </c>
      <c r="J85" s="144">
        <f t="shared" si="9"/>
        <v>69350</v>
      </c>
      <c r="K85" s="145">
        <f t="shared" si="9"/>
        <v>69350</v>
      </c>
    </row>
    <row r="86" spans="2:11" x14ac:dyDescent="0.2">
      <c r="B86" s="141"/>
      <c r="C86" s="142"/>
      <c r="D86" s="142"/>
      <c r="E86" s="142"/>
      <c r="F86" s="142"/>
      <c r="G86" s="142"/>
      <c r="H86" s="142"/>
      <c r="I86" s="142"/>
      <c r="J86" s="142"/>
      <c r="K86" s="143"/>
    </row>
    <row r="87" spans="2:11" ht="13.5" thickBot="1" x14ac:dyDescent="0.25">
      <c r="B87" s="146" t="s">
        <v>50</v>
      </c>
      <c r="C87" s="147">
        <f>C85*Premisas!B29</f>
        <v>5894.75</v>
      </c>
      <c r="D87" s="147">
        <f>D85*Premisas!C29</f>
        <v>5894.75</v>
      </c>
      <c r="E87" s="147">
        <f>E85*Premisas!D29</f>
        <v>5894.75</v>
      </c>
      <c r="F87" s="147">
        <f>F85*Premisas!E29</f>
        <v>5894.75</v>
      </c>
      <c r="G87" s="147">
        <f>G85*Premisas!F29</f>
        <v>5894.75</v>
      </c>
      <c r="H87" s="147">
        <f>H85*Premisas!G29</f>
        <v>5894.75</v>
      </c>
      <c r="I87" s="147">
        <f>I85*Premisas!H29</f>
        <v>5894.75</v>
      </c>
      <c r="J87" s="147">
        <f>J85*Premisas!I29</f>
        <v>5894.75</v>
      </c>
      <c r="K87" s="147">
        <f>K85*Premisas!J29</f>
        <v>5894.75</v>
      </c>
    </row>
    <row r="88" spans="2:11" ht="13.5" thickTop="1" x14ac:dyDescent="0.2"/>
    <row r="90" spans="2:11" x14ac:dyDescent="0.2">
      <c r="B90" s="136" t="s">
        <v>164</v>
      </c>
    </row>
    <row r="92" spans="2:11" x14ac:dyDescent="0.2">
      <c r="B92" s="136" t="s">
        <v>165</v>
      </c>
      <c r="D92" s="136">
        <v>10000</v>
      </c>
      <c r="E92" s="136">
        <f>D92*(1+Premisas!$C$10)</f>
        <v>11500</v>
      </c>
    </row>
    <row r="93" spans="2:11" x14ac:dyDescent="0.2">
      <c r="B93" s="136" t="s">
        <v>166</v>
      </c>
      <c r="D93" s="136">
        <v>20000</v>
      </c>
      <c r="E93" s="136">
        <f>D93*(1+Premisas!$C$10)</f>
        <v>23000</v>
      </c>
    </row>
    <row r="94" spans="2:11" x14ac:dyDescent="0.2">
      <c r="B94" s="136" t="s">
        <v>167</v>
      </c>
      <c r="D94" s="136">
        <v>45000</v>
      </c>
      <c r="E94" s="136">
        <f>D94*(1+Premisas!$C$10)</f>
        <v>51749.999999999993</v>
      </c>
    </row>
    <row r="95" spans="2:11" x14ac:dyDescent="0.2">
      <c r="B95" s="136" t="s">
        <v>168</v>
      </c>
      <c r="D95" s="136">
        <v>10000</v>
      </c>
      <c r="E95" s="136">
        <f>D95*(1+Premisas!$C$10)</f>
        <v>11500</v>
      </c>
    </row>
    <row r="97" spans="2:5" x14ac:dyDescent="0.2">
      <c r="B97" s="136" t="s">
        <v>42</v>
      </c>
      <c r="D97" s="136">
        <f>SUM(D92:D96)</f>
        <v>85000</v>
      </c>
      <c r="E97" s="136">
        <f>SUM(E92:E96)</f>
        <v>97750</v>
      </c>
    </row>
    <row r="99" spans="2:5" x14ac:dyDescent="0.2">
      <c r="B99" s="136" t="s">
        <v>169</v>
      </c>
      <c r="D99" s="148">
        <f>D97/12</f>
        <v>7083.333333333333</v>
      </c>
      <c r="E99" s="148">
        <f>E97/12</f>
        <v>8145.833333333333</v>
      </c>
    </row>
  </sheetData>
  <phoneticPr fontId="2" type="noConversion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0"/>
  <sheetViews>
    <sheetView workbookViewId="0">
      <selection activeCell="D8" sqref="D8"/>
    </sheetView>
  </sheetViews>
  <sheetFormatPr baseColWidth="10" defaultRowHeight="12.75" x14ac:dyDescent="0.2"/>
  <cols>
    <col min="1" max="16384" width="11.42578125" style="136"/>
  </cols>
  <sheetData>
    <row r="1" spans="1:14" x14ac:dyDescent="0.2">
      <c r="A1" s="136" t="s">
        <v>170</v>
      </c>
      <c r="B1" s="136">
        <v>50000</v>
      </c>
      <c r="C1" s="136" t="s">
        <v>171</v>
      </c>
      <c r="D1" s="136">
        <v>24</v>
      </c>
    </row>
    <row r="2" spans="1:14" x14ac:dyDescent="0.2">
      <c r="A2" s="136" t="s">
        <v>172</v>
      </c>
      <c r="B2" s="136">
        <f>Premisas!B5</f>
        <v>0.28000000000000003</v>
      </c>
    </row>
    <row r="4" spans="1:14" x14ac:dyDescent="0.2">
      <c r="A4" s="136">
        <v>1998</v>
      </c>
      <c r="B4" s="136">
        <v>1</v>
      </c>
      <c r="C4" s="136">
        <v>2</v>
      </c>
      <c r="D4" s="136">
        <v>3</v>
      </c>
      <c r="E4" s="136">
        <v>4</v>
      </c>
      <c r="F4" s="136">
        <v>5</v>
      </c>
      <c r="G4" s="136">
        <v>6</v>
      </c>
      <c r="H4" s="136">
        <v>7</v>
      </c>
      <c r="I4" s="136">
        <v>8</v>
      </c>
      <c r="J4" s="136">
        <v>9</v>
      </c>
      <c r="K4" s="136">
        <v>10</v>
      </c>
      <c r="L4" s="136">
        <v>11</v>
      </c>
      <c r="M4" s="136">
        <v>12</v>
      </c>
      <c r="N4" s="136" t="s">
        <v>42</v>
      </c>
    </row>
    <row r="5" spans="1:14" x14ac:dyDescent="0.2">
      <c r="A5" s="136" t="s">
        <v>170</v>
      </c>
      <c r="B5" s="148">
        <f>B1-B6</f>
        <v>47916.666666666664</v>
      </c>
      <c r="C5" s="148">
        <f>B5-B6</f>
        <v>45833.333333333328</v>
      </c>
      <c r="D5" s="148">
        <f t="shared" ref="D5:M5" si="0">C5-C6</f>
        <v>43749.999999999993</v>
      </c>
      <c r="E5" s="148">
        <f t="shared" si="0"/>
        <v>41666.666666666657</v>
      </c>
      <c r="F5" s="148">
        <f t="shared" si="0"/>
        <v>39583.333333333321</v>
      </c>
      <c r="G5" s="148">
        <f t="shared" si="0"/>
        <v>37499.999999999985</v>
      </c>
      <c r="H5" s="148">
        <f t="shared" si="0"/>
        <v>35416.66666666665</v>
      </c>
      <c r="I5" s="148">
        <f t="shared" si="0"/>
        <v>33333.333333333314</v>
      </c>
      <c r="J5" s="148">
        <f t="shared" si="0"/>
        <v>31249.999999999982</v>
      </c>
      <c r="K5" s="148">
        <f t="shared" si="0"/>
        <v>29166.66666666665</v>
      </c>
      <c r="L5" s="148">
        <f t="shared" si="0"/>
        <v>27083.333333333318</v>
      </c>
      <c r="M5" s="148">
        <f t="shared" si="0"/>
        <v>24999.999999999985</v>
      </c>
      <c r="N5" s="148">
        <f>M5</f>
        <v>24999.999999999985</v>
      </c>
    </row>
    <row r="6" spans="1:14" x14ac:dyDescent="0.2">
      <c r="A6" s="136" t="s">
        <v>173</v>
      </c>
      <c r="B6" s="148">
        <f>B1/D1</f>
        <v>2083.3333333333335</v>
      </c>
      <c r="C6" s="148">
        <f t="shared" ref="C6:M6" si="1">B6</f>
        <v>2083.3333333333335</v>
      </c>
      <c r="D6" s="148">
        <f t="shared" si="1"/>
        <v>2083.3333333333335</v>
      </c>
      <c r="E6" s="148">
        <f t="shared" si="1"/>
        <v>2083.3333333333335</v>
      </c>
      <c r="F6" s="148">
        <f t="shared" si="1"/>
        <v>2083.3333333333335</v>
      </c>
      <c r="G6" s="148">
        <f t="shared" si="1"/>
        <v>2083.3333333333335</v>
      </c>
      <c r="H6" s="148">
        <f t="shared" si="1"/>
        <v>2083.3333333333335</v>
      </c>
      <c r="I6" s="148">
        <f t="shared" si="1"/>
        <v>2083.3333333333335</v>
      </c>
      <c r="J6" s="148">
        <f t="shared" si="1"/>
        <v>2083.3333333333335</v>
      </c>
      <c r="K6" s="148">
        <f t="shared" si="1"/>
        <v>2083.3333333333335</v>
      </c>
      <c r="L6" s="148">
        <f t="shared" si="1"/>
        <v>2083.3333333333335</v>
      </c>
      <c r="M6" s="148">
        <f t="shared" si="1"/>
        <v>2083.3333333333335</v>
      </c>
      <c r="N6" s="148">
        <f>SUM(B6:M6)</f>
        <v>24999.999999999996</v>
      </c>
    </row>
    <row r="7" spans="1:14" x14ac:dyDescent="0.2">
      <c r="A7" s="136" t="s">
        <v>174</v>
      </c>
      <c r="B7" s="148">
        <f>Premisas!$B$5/12*B1</f>
        <v>1166.6666666666667</v>
      </c>
      <c r="C7" s="148">
        <f>Premisas!$B$5/12*C5</f>
        <v>1069.4444444444443</v>
      </c>
      <c r="D7" s="148">
        <f>Premisas!$B$5/12*D5</f>
        <v>1020.8333333333333</v>
      </c>
      <c r="E7" s="148">
        <f>Premisas!$B$5/12*E5</f>
        <v>972.22222222222206</v>
      </c>
      <c r="F7" s="148">
        <f>Premisas!$B$5/12*F5</f>
        <v>923.61111111111086</v>
      </c>
      <c r="G7" s="148">
        <f>Premisas!$B$5/12*G5</f>
        <v>874.99999999999966</v>
      </c>
      <c r="H7" s="148">
        <f>Premisas!$B$5/12*H5</f>
        <v>826.38888888888857</v>
      </c>
      <c r="I7" s="148">
        <f>Premisas!$B$5/12*I5</f>
        <v>777.77777777777737</v>
      </c>
      <c r="J7" s="148">
        <f>Premisas!$B$5/12*J5</f>
        <v>729.16666666666629</v>
      </c>
      <c r="K7" s="148">
        <f>Premisas!$B$5/12*K5</f>
        <v>680.5555555555552</v>
      </c>
      <c r="L7" s="148">
        <f>Premisas!$B$5/12*L5</f>
        <v>631.94444444444412</v>
      </c>
      <c r="M7" s="148">
        <f>Premisas!$B$5/12*M5</f>
        <v>583.33333333333303</v>
      </c>
      <c r="N7" s="148">
        <f>SUM(B7:M7)</f>
        <v>10256.944444444442</v>
      </c>
    </row>
    <row r="8" spans="1:14" ht="13.5" thickBot="1" x14ac:dyDescent="0.25">
      <c r="A8" s="136" t="s">
        <v>42</v>
      </c>
      <c r="B8" s="149">
        <f>SUM(B6:B7)</f>
        <v>3250</v>
      </c>
      <c r="C8" s="149">
        <f t="shared" ref="C8:M8" si="2">SUM(C6:C7)</f>
        <v>3152.7777777777778</v>
      </c>
      <c r="D8" s="149">
        <f t="shared" si="2"/>
        <v>3104.166666666667</v>
      </c>
      <c r="E8" s="149">
        <f t="shared" si="2"/>
        <v>3055.5555555555557</v>
      </c>
      <c r="F8" s="149">
        <f t="shared" si="2"/>
        <v>3006.9444444444443</v>
      </c>
      <c r="G8" s="149">
        <f t="shared" si="2"/>
        <v>2958.333333333333</v>
      </c>
      <c r="H8" s="149">
        <f t="shared" si="2"/>
        <v>2909.7222222222222</v>
      </c>
      <c r="I8" s="149">
        <f t="shared" si="2"/>
        <v>2861.1111111111109</v>
      </c>
      <c r="J8" s="149">
        <f t="shared" si="2"/>
        <v>2812.5</v>
      </c>
      <c r="K8" s="149">
        <f t="shared" si="2"/>
        <v>2763.8888888888887</v>
      </c>
      <c r="L8" s="149">
        <f t="shared" si="2"/>
        <v>2715.2777777777774</v>
      </c>
      <c r="M8" s="149">
        <f t="shared" si="2"/>
        <v>2666.6666666666665</v>
      </c>
      <c r="N8" s="149">
        <f>SUM(B8:M8)</f>
        <v>35256.944444444445</v>
      </c>
    </row>
    <row r="9" spans="1:14" ht="13.5" thickTop="1" x14ac:dyDescent="0.2"/>
    <row r="10" spans="1:14" x14ac:dyDescent="0.2">
      <c r="A10" s="136">
        <v>1999</v>
      </c>
    </row>
    <row r="11" spans="1:14" x14ac:dyDescent="0.2">
      <c r="A11" s="136" t="s">
        <v>170</v>
      </c>
      <c r="B11" s="148">
        <f>M5-B12</f>
        <v>22916.666666666653</v>
      </c>
      <c r="C11" s="148">
        <f>B11-B12</f>
        <v>20833.333333333321</v>
      </c>
      <c r="D11" s="148">
        <f t="shared" ref="D11:M11" si="3">C11-C12</f>
        <v>18749.999999999989</v>
      </c>
      <c r="E11" s="148">
        <f t="shared" si="3"/>
        <v>16666.666666666657</v>
      </c>
      <c r="F11" s="148">
        <f t="shared" si="3"/>
        <v>14583.333333333323</v>
      </c>
      <c r="G11" s="148">
        <f t="shared" si="3"/>
        <v>12499.999999999989</v>
      </c>
      <c r="H11" s="148">
        <f t="shared" si="3"/>
        <v>10416.666666666655</v>
      </c>
      <c r="I11" s="148">
        <f t="shared" si="3"/>
        <v>8333.3333333333212</v>
      </c>
      <c r="J11" s="148">
        <f t="shared" si="3"/>
        <v>6249.9999999999873</v>
      </c>
      <c r="K11" s="148">
        <f t="shared" si="3"/>
        <v>4166.6666666666533</v>
      </c>
      <c r="L11" s="148">
        <f t="shared" si="3"/>
        <v>2083.3333333333198</v>
      </c>
      <c r="M11" s="148">
        <f t="shared" si="3"/>
        <v>-1.3642420526593924E-11</v>
      </c>
      <c r="N11" s="148">
        <f>M11</f>
        <v>-1.3642420526593924E-11</v>
      </c>
    </row>
    <row r="12" spans="1:14" x14ac:dyDescent="0.2">
      <c r="A12" s="136" t="s">
        <v>173</v>
      </c>
      <c r="B12" s="148">
        <f>M6</f>
        <v>2083.3333333333335</v>
      </c>
      <c r="C12" s="148">
        <f t="shared" ref="C12:M12" si="4">B12</f>
        <v>2083.3333333333335</v>
      </c>
      <c r="D12" s="148">
        <f t="shared" si="4"/>
        <v>2083.3333333333335</v>
      </c>
      <c r="E12" s="148">
        <f t="shared" si="4"/>
        <v>2083.3333333333335</v>
      </c>
      <c r="F12" s="148">
        <f t="shared" si="4"/>
        <v>2083.3333333333335</v>
      </c>
      <c r="G12" s="148">
        <f t="shared" si="4"/>
        <v>2083.3333333333335</v>
      </c>
      <c r="H12" s="148">
        <f t="shared" si="4"/>
        <v>2083.3333333333335</v>
      </c>
      <c r="I12" s="148">
        <f t="shared" si="4"/>
        <v>2083.3333333333335</v>
      </c>
      <c r="J12" s="148">
        <f t="shared" si="4"/>
        <v>2083.3333333333335</v>
      </c>
      <c r="K12" s="148">
        <f t="shared" si="4"/>
        <v>2083.3333333333335</v>
      </c>
      <c r="L12" s="148">
        <f t="shared" si="4"/>
        <v>2083.3333333333335</v>
      </c>
      <c r="M12" s="148">
        <f t="shared" si="4"/>
        <v>2083.3333333333335</v>
      </c>
      <c r="N12" s="148">
        <f>SUM(B12:M12)</f>
        <v>24999.999999999996</v>
      </c>
    </row>
    <row r="13" spans="1:14" x14ac:dyDescent="0.2">
      <c r="A13" s="136" t="s">
        <v>174</v>
      </c>
      <c r="B13" s="148">
        <f>Premisas!$C$5/12*Financiamiento!B11</f>
        <v>477.43055555555526</v>
      </c>
      <c r="C13" s="148">
        <f>Premisas!$C$5/12*Financiamiento!C11</f>
        <v>434.02777777777749</v>
      </c>
      <c r="D13" s="148">
        <f>Premisas!$C$5/12*Financiamiento!D11</f>
        <v>390.62499999999977</v>
      </c>
      <c r="E13" s="148">
        <f>Premisas!$C$5/12*Financiamiento!E11</f>
        <v>347.222222222222</v>
      </c>
      <c r="F13" s="148">
        <f>Premisas!$C$5/12*Financiamiento!F11</f>
        <v>303.81944444444423</v>
      </c>
      <c r="G13" s="148">
        <f>Premisas!$C$5/12*Financiamiento!G11</f>
        <v>260.4166666666664</v>
      </c>
      <c r="H13" s="148">
        <f>Premisas!$C$5/12*Financiamiento!H11</f>
        <v>217.01388888888863</v>
      </c>
      <c r="I13" s="148">
        <f>Premisas!$C$5/12*Financiamiento!I11</f>
        <v>173.61111111111086</v>
      </c>
      <c r="J13" s="148">
        <f>Premisas!$C$5/12*Financiamiento!J11</f>
        <v>130.20833333333306</v>
      </c>
      <c r="K13" s="148">
        <f>Premisas!$C$5/12*Financiamiento!K11</f>
        <v>86.805555555555273</v>
      </c>
      <c r="L13" s="148">
        <f>Premisas!$C$5/12*Financiamiento!L11</f>
        <v>43.402777777777494</v>
      </c>
      <c r="M13" s="148">
        <f>Premisas!$C$5/12*Financiamiento!M11</f>
        <v>-2.8421709430404007E-13</v>
      </c>
      <c r="N13" s="148">
        <f>SUM(B13:M13)</f>
        <v>2864.5833333333298</v>
      </c>
    </row>
    <row r="14" spans="1:14" ht="12.75" customHeight="1" thickBot="1" x14ac:dyDescent="0.25">
      <c r="A14" s="136" t="s">
        <v>42</v>
      </c>
      <c r="B14" s="149">
        <f>SUM(B12:B13)</f>
        <v>2560.7638888888887</v>
      </c>
      <c r="C14" s="149">
        <f t="shared" ref="C14:M14" si="5">SUM(C12:C13)</f>
        <v>2517.3611111111109</v>
      </c>
      <c r="D14" s="149">
        <f t="shared" si="5"/>
        <v>2473.958333333333</v>
      </c>
      <c r="E14" s="149">
        <f t="shared" si="5"/>
        <v>2430.5555555555557</v>
      </c>
      <c r="F14" s="149">
        <f t="shared" si="5"/>
        <v>2387.1527777777778</v>
      </c>
      <c r="G14" s="149">
        <f t="shared" si="5"/>
        <v>2343.75</v>
      </c>
      <c r="H14" s="149">
        <f t="shared" si="5"/>
        <v>2300.3472222222222</v>
      </c>
      <c r="I14" s="149">
        <f t="shared" si="5"/>
        <v>2256.9444444444443</v>
      </c>
      <c r="J14" s="149">
        <f t="shared" si="5"/>
        <v>2213.5416666666665</v>
      </c>
      <c r="K14" s="149">
        <f t="shared" si="5"/>
        <v>2170.1388888888887</v>
      </c>
      <c r="L14" s="149">
        <f t="shared" si="5"/>
        <v>2126.7361111111109</v>
      </c>
      <c r="M14" s="149">
        <f t="shared" si="5"/>
        <v>2083.333333333333</v>
      </c>
      <c r="N14" s="149">
        <f>SUM(B14:M14)</f>
        <v>27864.583333333332</v>
      </c>
    </row>
    <row r="15" spans="1:14" ht="13.5" thickTop="1" x14ac:dyDescent="0.2"/>
    <row r="16" spans="1:14" x14ac:dyDescent="0.2">
      <c r="A16" s="136">
        <v>2000</v>
      </c>
    </row>
    <row r="17" spans="1:14" x14ac:dyDescent="0.2">
      <c r="A17" s="136" t="s">
        <v>170</v>
      </c>
      <c r="B17" s="148">
        <f>M11</f>
        <v>-1.3642420526593924E-11</v>
      </c>
      <c r="C17" s="148">
        <f>B17-C18</f>
        <v>-2083.3333333333471</v>
      </c>
      <c r="D17" s="148">
        <f t="shared" ref="D17:M17" si="6">C17-D18</f>
        <v>-4166.6666666666806</v>
      </c>
      <c r="E17" s="148">
        <f t="shared" si="6"/>
        <v>-6250.0000000000146</v>
      </c>
      <c r="F17" s="148">
        <f t="shared" si="6"/>
        <v>-8333.3333333333485</v>
      </c>
      <c r="G17" s="148">
        <f t="shared" si="6"/>
        <v>-10416.666666666682</v>
      </c>
      <c r="H17" s="148">
        <f t="shared" si="6"/>
        <v>-12500.000000000016</v>
      </c>
      <c r="I17" s="148">
        <f t="shared" si="6"/>
        <v>-14583.33333333335</v>
      </c>
      <c r="J17" s="148">
        <f t="shared" si="6"/>
        <v>-16666.666666666682</v>
      </c>
      <c r="K17" s="148">
        <f t="shared" si="6"/>
        <v>-18750.000000000015</v>
      </c>
      <c r="L17" s="148">
        <f t="shared" si="6"/>
        <v>-20833.333333333347</v>
      </c>
      <c r="M17" s="148">
        <f t="shared" si="6"/>
        <v>-22916.666666666679</v>
      </c>
      <c r="N17" s="148">
        <f>M17</f>
        <v>-22916.666666666679</v>
      </c>
    </row>
    <row r="18" spans="1:14" x14ac:dyDescent="0.2">
      <c r="A18" s="136" t="s">
        <v>173</v>
      </c>
      <c r="B18" s="148">
        <f>B12</f>
        <v>2083.3333333333335</v>
      </c>
      <c r="C18" s="148">
        <f t="shared" ref="C18:M18" si="7">B18</f>
        <v>2083.3333333333335</v>
      </c>
      <c r="D18" s="148">
        <f t="shared" si="7"/>
        <v>2083.3333333333335</v>
      </c>
      <c r="E18" s="148">
        <f t="shared" si="7"/>
        <v>2083.3333333333335</v>
      </c>
      <c r="F18" s="148">
        <f t="shared" si="7"/>
        <v>2083.3333333333335</v>
      </c>
      <c r="G18" s="148">
        <f t="shared" si="7"/>
        <v>2083.3333333333335</v>
      </c>
      <c r="H18" s="148">
        <f t="shared" si="7"/>
        <v>2083.3333333333335</v>
      </c>
      <c r="I18" s="148">
        <f t="shared" si="7"/>
        <v>2083.3333333333335</v>
      </c>
      <c r="J18" s="148">
        <f t="shared" si="7"/>
        <v>2083.3333333333335</v>
      </c>
      <c r="K18" s="148">
        <f t="shared" si="7"/>
        <v>2083.3333333333335</v>
      </c>
      <c r="L18" s="148">
        <f t="shared" si="7"/>
        <v>2083.3333333333335</v>
      </c>
      <c r="M18" s="148">
        <f t="shared" si="7"/>
        <v>2083.3333333333335</v>
      </c>
      <c r="N18" s="148">
        <f>SUM(B18:M18)</f>
        <v>24999.999999999996</v>
      </c>
    </row>
    <row r="19" spans="1:14" x14ac:dyDescent="0.2">
      <c r="A19" s="136" t="s">
        <v>174</v>
      </c>
      <c r="B19" s="148">
        <f>Premisas!$D$5/12*Financiamiento!B17</f>
        <v>-3.069544618483633E-13</v>
      </c>
      <c r="C19" s="148">
        <f>Premisas!$D$5/12*Financiamiento!C17</f>
        <v>-46.875000000000313</v>
      </c>
      <c r="D19" s="148">
        <f>Premisas!$D$5/12*Financiamiento!D17</f>
        <v>-93.750000000000327</v>
      </c>
      <c r="E19" s="148">
        <f>Premisas!$D$5/12*Financiamiento!E17</f>
        <v>-140.62500000000034</v>
      </c>
      <c r="F19" s="148">
        <f>Premisas!$D$5/12*Financiamiento!F17</f>
        <v>-187.50000000000037</v>
      </c>
      <c r="G19" s="148">
        <f>Premisas!$D$5/12*Financiamiento!G17</f>
        <v>-234.37500000000037</v>
      </c>
      <c r="H19" s="148">
        <f>Premisas!$D$5/12*Financiamiento!H17</f>
        <v>-281.2500000000004</v>
      </c>
      <c r="I19" s="148">
        <f>Premisas!$D$5/12*Financiamiento!I17</f>
        <v>-328.1250000000004</v>
      </c>
      <c r="J19" s="148">
        <f>Premisas!$D$5/12*Financiamiento!J17</f>
        <v>-375.0000000000004</v>
      </c>
      <c r="K19" s="148">
        <f>Premisas!$D$5/12*Financiamiento!K17</f>
        <v>-421.8750000000004</v>
      </c>
      <c r="L19" s="148">
        <f>Premisas!$D$5/12*Financiamiento!L17</f>
        <v>-468.75000000000034</v>
      </c>
      <c r="M19" s="148">
        <f>Premisas!$D$5/12*Financiamiento!M17</f>
        <v>-515.62500000000034</v>
      </c>
      <c r="N19" s="148">
        <f>SUM(B19:M19)</f>
        <v>-3093.7500000000045</v>
      </c>
    </row>
    <row r="20" spans="1:14" ht="13.5" thickBot="1" x14ac:dyDescent="0.25">
      <c r="A20" s="136" t="s">
        <v>42</v>
      </c>
      <c r="B20" s="149">
        <f>SUM(B18:B19)</f>
        <v>2083.333333333333</v>
      </c>
      <c r="C20" s="149">
        <f t="shared" ref="C20:M20" si="8">SUM(C18:C19)</f>
        <v>2036.4583333333333</v>
      </c>
      <c r="D20" s="149">
        <f t="shared" si="8"/>
        <v>1989.5833333333333</v>
      </c>
      <c r="E20" s="149">
        <f t="shared" si="8"/>
        <v>1942.708333333333</v>
      </c>
      <c r="F20" s="149">
        <f t="shared" si="8"/>
        <v>1895.833333333333</v>
      </c>
      <c r="G20" s="149">
        <f t="shared" si="8"/>
        <v>1848.958333333333</v>
      </c>
      <c r="H20" s="149">
        <f t="shared" si="8"/>
        <v>1802.083333333333</v>
      </c>
      <c r="I20" s="149">
        <f t="shared" si="8"/>
        <v>1755.208333333333</v>
      </c>
      <c r="J20" s="149">
        <f t="shared" si="8"/>
        <v>1708.333333333333</v>
      </c>
      <c r="K20" s="149">
        <f t="shared" si="8"/>
        <v>1661.458333333333</v>
      </c>
      <c r="L20" s="149">
        <f t="shared" si="8"/>
        <v>1614.583333333333</v>
      </c>
      <c r="M20" s="149">
        <f t="shared" si="8"/>
        <v>1567.708333333333</v>
      </c>
      <c r="N20" s="149">
        <f>SUM(B20:M20)</f>
        <v>21906.249999999989</v>
      </c>
    </row>
    <row r="21" spans="1:14" ht="13.5" thickTop="1" x14ac:dyDescent="0.2"/>
    <row r="22" spans="1:14" x14ac:dyDescent="0.2">
      <c r="A22" s="136">
        <v>2001</v>
      </c>
    </row>
    <row r="23" spans="1:14" x14ac:dyDescent="0.2">
      <c r="A23" s="136" t="s">
        <v>170</v>
      </c>
      <c r="B23" s="148">
        <f>N17-B24</f>
        <v>-25000.000000000011</v>
      </c>
      <c r="C23" s="148">
        <f>B23-C24</f>
        <v>-27083.333333333343</v>
      </c>
      <c r="D23" s="148">
        <f t="shared" ref="D23:M23" si="9">C23-D24</f>
        <v>-29166.666666666675</v>
      </c>
      <c r="E23" s="148">
        <f t="shared" si="9"/>
        <v>-31250.000000000007</v>
      </c>
      <c r="F23" s="148">
        <f t="shared" si="9"/>
        <v>-33333.333333333343</v>
      </c>
      <c r="G23" s="148">
        <f t="shared" si="9"/>
        <v>-35416.666666666679</v>
      </c>
      <c r="H23" s="148">
        <f t="shared" si="9"/>
        <v>-37500.000000000015</v>
      </c>
      <c r="I23" s="148">
        <f t="shared" si="9"/>
        <v>-39583.33333333335</v>
      </c>
      <c r="J23" s="148">
        <f t="shared" si="9"/>
        <v>-41666.666666666686</v>
      </c>
      <c r="K23" s="148">
        <f t="shared" si="9"/>
        <v>-43750.000000000022</v>
      </c>
      <c r="L23" s="148">
        <f t="shared" si="9"/>
        <v>-45833.333333333358</v>
      </c>
      <c r="M23" s="148">
        <f t="shared" si="9"/>
        <v>-47916.666666666693</v>
      </c>
      <c r="N23" s="148">
        <f>M23</f>
        <v>-47916.666666666693</v>
      </c>
    </row>
    <row r="24" spans="1:14" x14ac:dyDescent="0.2">
      <c r="A24" s="136" t="s">
        <v>173</v>
      </c>
      <c r="B24" s="148">
        <f t="shared" ref="B24:M24" si="10">B18</f>
        <v>2083.3333333333335</v>
      </c>
      <c r="C24" s="148">
        <f t="shared" si="10"/>
        <v>2083.3333333333335</v>
      </c>
      <c r="D24" s="148">
        <f t="shared" si="10"/>
        <v>2083.3333333333335</v>
      </c>
      <c r="E24" s="148">
        <f t="shared" si="10"/>
        <v>2083.3333333333335</v>
      </c>
      <c r="F24" s="148">
        <f t="shared" si="10"/>
        <v>2083.3333333333335</v>
      </c>
      <c r="G24" s="148">
        <f t="shared" si="10"/>
        <v>2083.3333333333335</v>
      </c>
      <c r="H24" s="148">
        <f t="shared" si="10"/>
        <v>2083.3333333333335</v>
      </c>
      <c r="I24" s="148">
        <f t="shared" si="10"/>
        <v>2083.3333333333335</v>
      </c>
      <c r="J24" s="148">
        <f t="shared" si="10"/>
        <v>2083.3333333333335</v>
      </c>
      <c r="K24" s="148">
        <f t="shared" si="10"/>
        <v>2083.3333333333335</v>
      </c>
      <c r="L24" s="148">
        <f t="shared" si="10"/>
        <v>2083.3333333333335</v>
      </c>
      <c r="M24" s="148">
        <f t="shared" si="10"/>
        <v>2083.3333333333335</v>
      </c>
      <c r="N24" s="148">
        <f>SUM(B24:M24)</f>
        <v>24999.999999999996</v>
      </c>
    </row>
    <row r="25" spans="1:14" x14ac:dyDescent="0.2">
      <c r="A25" s="136" t="s">
        <v>174</v>
      </c>
      <c r="B25" s="136">
        <f>B23*Premisas!$E$5/12</f>
        <v>-562.50000000000034</v>
      </c>
      <c r="C25" s="136">
        <f>C23*Premisas!$E$5/12</f>
        <v>-609.37500000000023</v>
      </c>
      <c r="D25" s="136">
        <f>D23*Premisas!$E$5/12</f>
        <v>-656.25000000000023</v>
      </c>
      <c r="E25" s="136">
        <f>E23*Premisas!$E$5/12</f>
        <v>-703.12500000000011</v>
      </c>
      <c r="F25" s="136">
        <f>F23*Premisas!$E$5/12</f>
        <v>-750.00000000000034</v>
      </c>
      <c r="G25" s="136">
        <f>G23*Premisas!$E$5/12</f>
        <v>-796.87500000000034</v>
      </c>
      <c r="H25" s="136">
        <f>H23*Premisas!$E$5/12</f>
        <v>-843.75000000000045</v>
      </c>
      <c r="I25" s="136">
        <f>I23*Premisas!$E$5/12</f>
        <v>-890.62500000000045</v>
      </c>
      <c r="J25" s="136">
        <f>J23*Premisas!$E$5/12</f>
        <v>-937.50000000000045</v>
      </c>
      <c r="K25" s="136">
        <f>K23*Premisas!$E$5/12</f>
        <v>-984.37500000000057</v>
      </c>
      <c r="L25" s="136">
        <f>L23*Premisas!$E$5/12</f>
        <v>-1031.2500000000007</v>
      </c>
      <c r="M25" s="136">
        <f>M23*Premisas!$E$5/12</f>
        <v>-1078.1250000000007</v>
      </c>
      <c r="N25" s="148">
        <f>SUM(B25:M25)</f>
        <v>-9843.7500000000036</v>
      </c>
    </row>
    <row r="26" spans="1:14" ht="13.5" thickBot="1" x14ac:dyDescent="0.25">
      <c r="A26" s="136" t="s">
        <v>42</v>
      </c>
      <c r="B26" s="149">
        <f>SUM(B24:B25)</f>
        <v>1520.833333333333</v>
      </c>
      <c r="C26" s="149">
        <f t="shared" ref="C26:M26" si="11">SUM(C24:C25)</f>
        <v>1473.9583333333333</v>
      </c>
      <c r="D26" s="149">
        <f t="shared" si="11"/>
        <v>1427.0833333333333</v>
      </c>
      <c r="E26" s="149">
        <f t="shared" si="11"/>
        <v>1380.2083333333335</v>
      </c>
      <c r="F26" s="149">
        <f t="shared" si="11"/>
        <v>1333.333333333333</v>
      </c>
      <c r="G26" s="149">
        <f t="shared" si="11"/>
        <v>1286.458333333333</v>
      </c>
      <c r="H26" s="149">
        <f t="shared" si="11"/>
        <v>1239.583333333333</v>
      </c>
      <c r="I26" s="149">
        <f t="shared" si="11"/>
        <v>1192.708333333333</v>
      </c>
      <c r="J26" s="149">
        <f t="shared" si="11"/>
        <v>1145.833333333333</v>
      </c>
      <c r="K26" s="149">
        <f t="shared" si="11"/>
        <v>1098.958333333333</v>
      </c>
      <c r="L26" s="149">
        <f t="shared" si="11"/>
        <v>1052.0833333333328</v>
      </c>
      <c r="M26" s="149">
        <f t="shared" si="11"/>
        <v>1005.2083333333328</v>
      </c>
      <c r="N26" s="149">
        <f>SUM(B26:M26)</f>
        <v>15156.249999999993</v>
      </c>
    </row>
    <row r="27" spans="1:14" ht="13.5" thickTop="1" x14ac:dyDescent="0.2"/>
    <row r="28" spans="1:14" x14ac:dyDescent="0.2">
      <c r="A28" s="136">
        <v>2002</v>
      </c>
    </row>
    <row r="29" spans="1:14" x14ac:dyDescent="0.2">
      <c r="A29" s="136" t="s">
        <v>170</v>
      </c>
      <c r="B29" s="148">
        <f>N23-B30</f>
        <v>-50000.000000000029</v>
      </c>
      <c r="C29" s="148">
        <f>B29-B30</f>
        <v>-52083.333333333365</v>
      </c>
      <c r="D29" s="148">
        <f t="shared" ref="D29:M29" si="12">C29-C30</f>
        <v>-54166.666666666701</v>
      </c>
      <c r="E29" s="148">
        <f t="shared" si="12"/>
        <v>-56250.000000000036</v>
      </c>
      <c r="F29" s="148">
        <f t="shared" si="12"/>
        <v>-58333.333333333372</v>
      </c>
      <c r="G29" s="148">
        <f t="shared" si="12"/>
        <v>-60416.666666666708</v>
      </c>
      <c r="H29" s="148">
        <f t="shared" si="12"/>
        <v>-62500.000000000044</v>
      </c>
      <c r="I29" s="148">
        <f t="shared" si="12"/>
        <v>-64583.333333333379</v>
      </c>
      <c r="J29" s="148">
        <f t="shared" si="12"/>
        <v>-66666.666666666715</v>
      </c>
      <c r="K29" s="148">
        <f t="shared" si="12"/>
        <v>-68750.000000000044</v>
      </c>
      <c r="L29" s="148">
        <f t="shared" si="12"/>
        <v>-70833.333333333372</v>
      </c>
      <c r="M29" s="148">
        <f t="shared" si="12"/>
        <v>-72916.666666666701</v>
      </c>
      <c r="N29" s="148">
        <f>M29</f>
        <v>-72916.666666666701</v>
      </c>
    </row>
    <row r="30" spans="1:14" x14ac:dyDescent="0.2">
      <c r="A30" s="136" t="s">
        <v>173</v>
      </c>
      <c r="B30" s="148">
        <f t="shared" ref="B30:M30" si="13">B24</f>
        <v>2083.3333333333335</v>
      </c>
      <c r="C30" s="148">
        <f t="shared" si="13"/>
        <v>2083.3333333333335</v>
      </c>
      <c r="D30" s="148">
        <f t="shared" si="13"/>
        <v>2083.3333333333335</v>
      </c>
      <c r="E30" s="148">
        <f t="shared" si="13"/>
        <v>2083.3333333333335</v>
      </c>
      <c r="F30" s="148">
        <f t="shared" si="13"/>
        <v>2083.3333333333335</v>
      </c>
      <c r="G30" s="148">
        <f t="shared" si="13"/>
        <v>2083.3333333333335</v>
      </c>
      <c r="H30" s="148">
        <f t="shared" si="13"/>
        <v>2083.3333333333335</v>
      </c>
      <c r="I30" s="148">
        <f t="shared" si="13"/>
        <v>2083.3333333333335</v>
      </c>
      <c r="J30" s="148">
        <f t="shared" si="13"/>
        <v>2083.3333333333335</v>
      </c>
      <c r="K30" s="148">
        <f t="shared" si="13"/>
        <v>2083.3333333333335</v>
      </c>
      <c r="L30" s="148">
        <f t="shared" si="13"/>
        <v>2083.3333333333335</v>
      </c>
      <c r="M30" s="148">
        <f t="shared" si="13"/>
        <v>2083.3333333333335</v>
      </c>
      <c r="N30" s="148">
        <f>SUM(B30:M30)</f>
        <v>24999.999999999996</v>
      </c>
    </row>
    <row r="31" spans="1:14" x14ac:dyDescent="0.2">
      <c r="A31" s="136" t="s">
        <v>174</v>
      </c>
      <c r="B31" s="148">
        <f>B29*Premisas!$F$5/12</f>
        <v>-1000.0000000000006</v>
      </c>
      <c r="C31" s="148">
        <f>C29*Premisas!$F$5/12</f>
        <v>-1041.6666666666672</v>
      </c>
      <c r="D31" s="148">
        <f>D29*Premisas!$F$5/12</f>
        <v>-1083.3333333333339</v>
      </c>
      <c r="E31" s="148">
        <f>E29*Premisas!$F$5/12</f>
        <v>-1125.0000000000007</v>
      </c>
      <c r="F31" s="148">
        <f>F29*Premisas!$F$5/12</f>
        <v>-1166.6666666666674</v>
      </c>
      <c r="G31" s="148">
        <f>G29*Premisas!$F$5/12</f>
        <v>-1208.3333333333342</v>
      </c>
      <c r="H31" s="148">
        <f>H29*Premisas!$F$5/12</f>
        <v>-1250.0000000000007</v>
      </c>
      <c r="I31" s="148">
        <f>I29*Premisas!$F$5/12</f>
        <v>-1291.6666666666677</v>
      </c>
      <c r="J31" s="148">
        <f>J29*Premisas!$F$5/12</f>
        <v>-1333.3333333333342</v>
      </c>
      <c r="K31" s="148">
        <f>K29*Premisas!$F$5/12</f>
        <v>-1375.0000000000009</v>
      </c>
      <c r="L31" s="148">
        <f>L29*Premisas!$F$5/12</f>
        <v>-1416.6666666666672</v>
      </c>
      <c r="M31" s="148">
        <f>M29*Premisas!$F$5/12</f>
        <v>-1458.3333333333339</v>
      </c>
      <c r="N31" s="148">
        <f>SUM(B31:M31)</f>
        <v>-14750.000000000009</v>
      </c>
    </row>
    <row r="32" spans="1:14" ht="13.5" thickBot="1" x14ac:dyDescent="0.25">
      <c r="A32" s="136" t="s">
        <v>42</v>
      </c>
      <c r="B32" s="149">
        <f>SUM(B30:B31)</f>
        <v>1083.333333333333</v>
      </c>
      <c r="C32" s="149">
        <f t="shared" ref="C32:M32" si="14">SUM(C30:C31)</f>
        <v>1041.6666666666663</v>
      </c>
      <c r="D32" s="149">
        <f t="shared" si="14"/>
        <v>999.99999999999955</v>
      </c>
      <c r="E32" s="149">
        <f t="shared" si="14"/>
        <v>958.3333333333328</v>
      </c>
      <c r="F32" s="149">
        <f t="shared" si="14"/>
        <v>916.66666666666606</v>
      </c>
      <c r="G32" s="149">
        <f t="shared" si="14"/>
        <v>874.99999999999932</v>
      </c>
      <c r="H32" s="149">
        <f t="shared" si="14"/>
        <v>833.3333333333328</v>
      </c>
      <c r="I32" s="149">
        <f t="shared" si="14"/>
        <v>791.66666666666583</v>
      </c>
      <c r="J32" s="149">
        <f t="shared" si="14"/>
        <v>749.99999999999932</v>
      </c>
      <c r="K32" s="149">
        <f t="shared" si="14"/>
        <v>708.33333333333258</v>
      </c>
      <c r="L32" s="149">
        <f t="shared" si="14"/>
        <v>666.66666666666629</v>
      </c>
      <c r="M32" s="149">
        <f t="shared" si="14"/>
        <v>624.99999999999955</v>
      </c>
      <c r="N32" s="149">
        <f>SUM(B32:M32)</f>
        <v>10249.999999999993</v>
      </c>
    </row>
    <row r="33" spans="1:1" ht="12.75" customHeight="1" thickTop="1" x14ac:dyDescent="0.2"/>
    <row r="34" spans="1:1" x14ac:dyDescent="0.2">
      <c r="A34" s="136">
        <v>2003</v>
      </c>
    </row>
    <row r="35" spans="1:1" x14ac:dyDescent="0.2">
      <c r="A35" s="136" t="s">
        <v>170</v>
      </c>
    </row>
    <row r="36" spans="1:1" x14ac:dyDescent="0.2">
      <c r="A36" s="136" t="s">
        <v>173</v>
      </c>
    </row>
    <row r="37" spans="1:1" x14ac:dyDescent="0.2">
      <c r="A37" s="136" t="s">
        <v>174</v>
      </c>
    </row>
    <row r="38" spans="1:1" x14ac:dyDescent="0.2">
      <c r="A38" s="136" t="s">
        <v>42</v>
      </c>
    </row>
    <row r="40" spans="1:1" x14ac:dyDescent="0.2">
      <c r="A40" s="136">
        <v>2004</v>
      </c>
    </row>
    <row r="41" spans="1:1" x14ac:dyDescent="0.2">
      <c r="A41" s="136" t="s">
        <v>170</v>
      </c>
    </row>
    <row r="42" spans="1:1" x14ac:dyDescent="0.2">
      <c r="A42" s="136" t="s">
        <v>173</v>
      </c>
    </row>
    <row r="43" spans="1:1" x14ac:dyDescent="0.2">
      <c r="A43" s="136" t="s">
        <v>174</v>
      </c>
    </row>
    <row r="44" spans="1:1" x14ac:dyDescent="0.2">
      <c r="A44" s="136" t="s">
        <v>42</v>
      </c>
    </row>
    <row r="46" spans="1:1" x14ac:dyDescent="0.2">
      <c r="A46" s="136">
        <v>2005</v>
      </c>
    </row>
    <row r="47" spans="1:1" x14ac:dyDescent="0.2">
      <c r="A47" s="136" t="s">
        <v>170</v>
      </c>
    </row>
    <row r="48" spans="1:1" x14ac:dyDescent="0.2">
      <c r="A48" s="136" t="s">
        <v>173</v>
      </c>
    </row>
    <row r="49" spans="1:1" x14ac:dyDescent="0.2">
      <c r="A49" s="136" t="s">
        <v>174</v>
      </c>
    </row>
    <row r="50" spans="1:1" x14ac:dyDescent="0.2">
      <c r="A50" s="136" t="s">
        <v>42</v>
      </c>
    </row>
    <row r="52" spans="1:1" x14ac:dyDescent="0.2">
      <c r="A52" s="136">
        <v>2006</v>
      </c>
    </row>
    <row r="53" spans="1:1" x14ac:dyDescent="0.2">
      <c r="A53" s="136" t="s">
        <v>170</v>
      </c>
    </row>
    <row r="54" spans="1:1" x14ac:dyDescent="0.2">
      <c r="A54" s="136" t="s">
        <v>173</v>
      </c>
    </row>
    <row r="55" spans="1:1" x14ac:dyDescent="0.2">
      <c r="A55" s="136" t="s">
        <v>174</v>
      </c>
    </row>
    <row r="56" spans="1:1" x14ac:dyDescent="0.2">
      <c r="A56" s="136" t="s">
        <v>42</v>
      </c>
    </row>
    <row r="58" spans="1:1" x14ac:dyDescent="0.2">
      <c r="A58" s="136">
        <v>2007</v>
      </c>
    </row>
    <row r="59" spans="1:1" x14ac:dyDescent="0.2">
      <c r="A59" s="136" t="s">
        <v>170</v>
      </c>
    </row>
    <row r="60" spans="1:1" x14ac:dyDescent="0.2">
      <c r="A60" s="136" t="s">
        <v>173</v>
      </c>
    </row>
    <row r="61" spans="1:1" x14ac:dyDescent="0.2">
      <c r="A61" s="136" t="s">
        <v>174</v>
      </c>
    </row>
    <row r="62" spans="1:1" x14ac:dyDescent="0.2">
      <c r="A62" s="136" t="s">
        <v>42</v>
      </c>
    </row>
    <row r="64" spans="1:1" x14ac:dyDescent="0.2">
      <c r="A64" s="136">
        <v>2008</v>
      </c>
    </row>
    <row r="65" spans="1:1" x14ac:dyDescent="0.2">
      <c r="A65" s="136" t="s">
        <v>170</v>
      </c>
    </row>
    <row r="66" spans="1:1" x14ac:dyDescent="0.2">
      <c r="A66" s="136" t="s">
        <v>173</v>
      </c>
    </row>
    <row r="67" spans="1:1" x14ac:dyDescent="0.2">
      <c r="A67" s="136" t="s">
        <v>174</v>
      </c>
    </row>
    <row r="68" spans="1:1" x14ac:dyDescent="0.2">
      <c r="A68" s="136" t="s">
        <v>42</v>
      </c>
    </row>
    <row r="70" spans="1:1" x14ac:dyDescent="0.2">
      <c r="A70" s="136">
        <v>2009</v>
      </c>
    </row>
    <row r="71" spans="1:1" x14ac:dyDescent="0.2">
      <c r="A71" s="136" t="s">
        <v>170</v>
      </c>
    </row>
    <row r="72" spans="1:1" x14ac:dyDescent="0.2">
      <c r="A72" s="136" t="s">
        <v>173</v>
      </c>
    </row>
    <row r="73" spans="1:1" x14ac:dyDescent="0.2">
      <c r="A73" s="136" t="s">
        <v>174</v>
      </c>
    </row>
    <row r="74" spans="1:1" x14ac:dyDescent="0.2">
      <c r="A74" s="136" t="s">
        <v>42</v>
      </c>
    </row>
    <row r="76" spans="1:1" x14ac:dyDescent="0.2">
      <c r="A76" s="136">
        <v>2010</v>
      </c>
    </row>
    <row r="79" spans="1:1" x14ac:dyDescent="0.2">
      <c r="A79" s="136">
        <v>2011</v>
      </c>
    </row>
    <row r="82" spans="1:1" x14ac:dyDescent="0.2">
      <c r="A82" s="136">
        <v>2012</v>
      </c>
    </row>
    <row r="85" spans="1:1" x14ac:dyDescent="0.2">
      <c r="A85" s="136">
        <v>2013</v>
      </c>
    </row>
    <row r="86" spans="1:1" x14ac:dyDescent="0.2">
      <c r="A86" s="136">
        <v>2014</v>
      </c>
    </row>
    <row r="87" spans="1:1" x14ac:dyDescent="0.2">
      <c r="A87" s="136">
        <v>2015</v>
      </c>
    </row>
    <row r="88" spans="1:1" x14ac:dyDescent="0.2">
      <c r="A88" s="136">
        <v>2016</v>
      </c>
    </row>
    <row r="89" spans="1:1" x14ac:dyDescent="0.2">
      <c r="A89" s="136">
        <v>2017</v>
      </c>
    </row>
    <row r="90" spans="1:1" x14ac:dyDescent="0.2">
      <c r="A90" s="136">
        <v>2018</v>
      </c>
    </row>
  </sheetData>
  <phoneticPr fontId="2" type="noConversion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114"/>
  <sheetViews>
    <sheetView tabSelected="1" topLeftCell="A4" workbookViewId="0">
      <selection activeCell="L10" sqref="L10"/>
    </sheetView>
  </sheetViews>
  <sheetFormatPr baseColWidth="10" defaultRowHeight="12.75" x14ac:dyDescent="0.2"/>
  <cols>
    <col min="1" max="1" width="31.42578125" style="136" customWidth="1"/>
    <col min="2" max="2" width="14" style="136" customWidth="1"/>
    <col min="3" max="3" width="13" style="136" customWidth="1"/>
    <col min="4" max="7" width="13.85546875" style="136" bestFit="1" customWidth="1"/>
    <col min="8" max="10" width="14" style="136" customWidth="1"/>
    <col min="11" max="16384" width="11.42578125" style="136"/>
  </cols>
  <sheetData>
    <row r="1" spans="1:10" x14ac:dyDescent="0.2">
      <c r="A1" s="136" t="s">
        <v>298</v>
      </c>
    </row>
    <row r="3" spans="1:10" x14ac:dyDescent="0.2">
      <c r="A3" s="150"/>
    </row>
    <row r="4" spans="1:10" s="151" customFormat="1" x14ac:dyDescent="0.2">
      <c r="A4" s="151" t="s">
        <v>175</v>
      </c>
      <c r="B4" s="151">
        <v>2020</v>
      </c>
      <c r="C4" s="151">
        <f>B4+1</f>
        <v>2021</v>
      </c>
      <c r="D4" s="151">
        <f t="shared" ref="D4:J4" si="0">C4+1</f>
        <v>2022</v>
      </c>
      <c r="E4" s="151">
        <f t="shared" si="0"/>
        <v>2023</v>
      </c>
      <c r="F4" s="151">
        <f t="shared" si="0"/>
        <v>2024</v>
      </c>
      <c r="G4" s="151">
        <f t="shared" si="0"/>
        <v>2025</v>
      </c>
      <c r="H4" s="151">
        <f t="shared" si="0"/>
        <v>2026</v>
      </c>
      <c r="I4" s="151">
        <f t="shared" si="0"/>
        <v>2027</v>
      </c>
      <c r="J4" s="151">
        <f t="shared" si="0"/>
        <v>2028</v>
      </c>
    </row>
    <row r="5" spans="1:10" x14ac:dyDescent="0.2">
      <c r="A5" s="152" t="s">
        <v>176</v>
      </c>
    </row>
    <row r="6" spans="1:10" x14ac:dyDescent="0.2">
      <c r="A6" s="137"/>
    </row>
    <row r="7" spans="1:10" x14ac:dyDescent="0.2">
      <c r="A7" s="153" t="s">
        <v>177</v>
      </c>
      <c r="B7" s="137">
        <f>Flujo!B37</f>
        <v>-21641475</v>
      </c>
      <c r="C7" s="137">
        <f>Flujo!C37</f>
        <v>-71408605</v>
      </c>
      <c r="D7" s="137">
        <f>Flujo!D37</f>
        <v>-113991523.89049995</v>
      </c>
      <c r="E7" s="137">
        <f>Flujo!E37</f>
        <v>-157472254.11453736</v>
      </c>
      <c r="F7" s="137">
        <f>Flujo!F37</f>
        <v>-204249460.70890164</v>
      </c>
      <c r="G7" s="137">
        <f>Flujo!G37</f>
        <v>-189980655.22586465</v>
      </c>
      <c r="H7" s="137">
        <f>Flujo!H37</f>
        <v>-189980655.22586465</v>
      </c>
      <c r="I7" s="137">
        <f>Flujo!I37</f>
        <v>-189980655.22586465</v>
      </c>
      <c r="J7" s="137">
        <f>Flujo!J37</f>
        <v>-189980655.22586465</v>
      </c>
    </row>
    <row r="8" spans="1:10" x14ac:dyDescent="0.2">
      <c r="A8" s="137" t="s">
        <v>178</v>
      </c>
      <c r="B8" s="137">
        <f>Premisas!B19*'Edo-Re'!B4</f>
        <v>4620000</v>
      </c>
      <c r="C8" s="137">
        <f>Premisas!C19*'Edo-Re'!C4</f>
        <v>70103908</v>
      </c>
      <c r="D8" s="137">
        <f>Premisas!D19*'Edo-Re'!D4</f>
        <v>83755548.800000012</v>
      </c>
      <c r="E8" s="137">
        <f>Premisas!E19*'Edo-Re'!E4</f>
        <v>100470175.96000001</v>
      </c>
      <c r="F8" s="137">
        <f>Premisas!F19*'Edo-Re'!F4</f>
        <v>110574209.30710001</v>
      </c>
      <c r="G8" s="137">
        <f>Premisas!G19*'Edo-Re'!G4</f>
        <v>0</v>
      </c>
      <c r="H8" s="137">
        <f>Premisas!H19*'Edo-Re'!H4</f>
        <v>0</v>
      </c>
      <c r="I8" s="137">
        <f>Premisas!I19*'Edo-Re'!I4</f>
        <v>0</v>
      </c>
      <c r="J8" s="137">
        <f>Premisas!J19*'Edo-Re'!J4</f>
        <v>0</v>
      </c>
    </row>
    <row r="9" spans="1:10" x14ac:dyDescent="0.2">
      <c r="A9" s="137" t="s">
        <v>179</v>
      </c>
      <c r="B9" s="137">
        <f>Premisas!B19*'Edo-Re'!B5</f>
        <v>25177880</v>
      </c>
      <c r="C9" s="137">
        <f>Premisas!C19*'Edo-Re'!C5</f>
        <v>32140108</v>
      </c>
      <c r="D9" s="137">
        <f>Premisas!D19*'Edo-Re'!D5</f>
        <v>33579966.420000009</v>
      </c>
      <c r="E9" s="137">
        <f>Premisas!E19*'Edo-Re'!E5</f>
        <v>38721934.751500003</v>
      </c>
      <c r="F9" s="137">
        <f>Premisas!F19*'Edo-Re'!F5</f>
        <v>21004626.312670004</v>
      </c>
      <c r="G9" s="137">
        <f>Premisas!G19*'Edo-Re'!G5</f>
        <v>0</v>
      </c>
      <c r="H9" s="137">
        <f>Premisas!H19*'Edo-Re'!H5</f>
        <v>0</v>
      </c>
      <c r="I9" s="137">
        <f>Premisas!I19*'Edo-Re'!I5</f>
        <v>0</v>
      </c>
      <c r="J9" s="137">
        <f>Premisas!J19*'Edo-Re'!J5</f>
        <v>0</v>
      </c>
    </row>
    <row r="10" spans="1:10" x14ac:dyDescent="0.2">
      <c r="A10" s="137" t="s">
        <v>180</v>
      </c>
      <c r="B10" s="137">
        <f>Premisas!B19*'Edo-Re'!B6</f>
        <v>0</v>
      </c>
      <c r="C10" s="137">
        <f>Premisas!C19*'Edo-Re'!C6</f>
        <v>0</v>
      </c>
      <c r="D10" s="137">
        <f>Premisas!D19*'Edo-Re'!D6</f>
        <v>0</v>
      </c>
      <c r="E10" s="137">
        <f>Premisas!E19*'Edo-Re'!E6</f>
        <v>0</v>
      </c>
      <c r="F10" s="137">
        <f>Premisas!F19*'Edo-Re'!F6</f>
        <v>0</v>
      </c>
      <c r="G10" s="137">
        <f>Premisas!G19*'Edo-Re'!G6</f>
        <v>0</v>
      </c>
      <c r="H10" s="137">
        <f>Premisas!H19*'Edo-Re'!H6</f>
        <v>0</v>
      </c>
      <c r="I10" s="137">
        <f>Premisas!I19*'Edo-Re'!I6</f>
        <v>0</v>
      </c>
      <c r="J10" s="137">
        <f>Premisas!J19*'Edo-Re'!J6</f>
        <v>0</v>
      </c>
    </row>
    <row r="11" spans="1:10" x14ac:dyDescent="0.2">
      <c r="A11" s="137" t="s">
        <v>181</v>
      </c>
      <c r="B11" s="137"/>
      <c r="C11" s="137"/>
      <c r="D11" s="137"/>
      <c r="E11" s="137"/>
      <c r="F11" s="137"/>
      <c r="G11" s="137"/>
      <c r="H11" s="137"/>
      <c r="I11" s="137"/>
      <c r="J11" s="137"/>
    </row>
    <row r="12" spans="1:10" x14ac:dyDescent="0.2">
      <c r="A12" s="154" t="s">
        <v>182</v>
      </c>
      <c r="B12" s="154">
        <v>1000000</v>
      </c>
      <c r="C12" s="137">
        <f t="shared" ref="C12:J13" si="1">B12</f>
        <v>1000000</v>
      </c>
      <c r="D12" s="137">
        <f t="shared" si="1"/>
        <v>1000000</v>
      </c>
      <c r="E12" s="137">
        <f t="shared" si="1"/>
        <v>1000000</v>
      </c>
      <c r="F12" s="137">
        <f t="shared" si="1"/>
        <v>1000000</v>
      </c>
      <c r="G12" s="137">
        <f t="shared" si="1"/>
        <v>1000000</v>
      </c>
      <c r="H12" s="137">
        <f t="shared" si="1"/>
        <v>1000000</v>
      </c>
      <c r="I12" s="137">
        <f t="shared" si="1"/>
        <v>1000000</v>
      </c>
      <c r="J12" s="137">
        <f t="shared" si="1"/>
        <v>1000000</v>
      </c>
    </row>
    <row r="13" spans="1:10" x14ac:dyDescent="0.2">
      <c r="A13" s="154" t="s">
        <v>183</v>
      </c>
      <c r="B13" s="154">
        <v>500000</v>
      </c>
      <c r="C13" s="137">
        <f t="shared" si="1"/>
        <v>500000</v>
      </c>
      <c r="D13" s="137">
        <f t="shared" si="1"/>
        <v>500000</v>
      </c>
      <c r="E13" s="137">
        <f t="shared" si="1"/>
        <v>500000</v>
      </c>
      <c r="F13" s="137">
        <f t="shared" si="1"/>
        <v>500000</v>
      </c>
      <c r="G13" s="137">
        <f t="shared" si="1"/>
        <v>500000</v>
      </c>
      <c r="H13" s="137">
        <f t="shared" si="1"/>
        <v>500000</v>
      </c>
      <c r="I13" s="137">
        <f t="shared" si="1"/>
        <v>500000</v>
      </c>
      <c r="J13" s="137">
        <f t="shared" si="1"/>
        <v>500000</v>
      </c>
    </row>
    <row r="14" spans="1:10" x14ac:dyDescent="0.2">
      <c r="A14" s="137"/>
      <c r="B14" s="137"/>
      <c r="C14" s="137"/>
      <c r="D14" s="137"/>
      <c r="E14" s="137"/>
      <c r="F14" s="137"/>
      <c r="G14" s="137"/>
      <c r="H14" s="137"/>
      <c r="I14" s="137"/>
      <c r="J14" s="137"/>
    </row>
    <row r="15" spans="1:10" ht="13.5" thickBot="1" x14ac:dyDescent="0.25">
      <c r="A15" s="155" t="s">
        <v>184</v>
      </c>
      <c r="B15" s="155">
        <f t="shared" ref="B15:J15" si="2">SUM(B7:B13)</f>
        <v>9656405</v>
      </c>
      <c r="C15" s="155">
        <f t="shared" si="2"/>
        <v>32335411</v>
      </c>
      <c r="D15" s="155">
        <f t="shared" si="2"/>
        <v>4843991.3295000717</v>
      </c>
      <c r="E15" s="155">
        <f t="shared" si="2"/>
        <v>-16780143.403037347</v>
      </c>
      <c r="F15" s="155">
        <f t="shared" si="2"/>
        <v>-71170625.089131624</v>
      </c>
      <c r="G15" s="155">
        <f t="shared" si="2"/>
        <v>-188480655.22586465</v>
      </c>
      <c r="H15" s="155">
        <f t="shared" si="2"/>
        <v>-188480655.22586465</v>
      </c>
      <c r="I15" s="155">
        <f t="shared" si="2"/>
        <v>-188480655.22586465</v>
      </c>
      <c r="J15" s="155">
        <f t="shared" si="2"/>
        <v>-188480655.22586465</v>
      </c>
    </row>
    <row r="16" spans="1:10" ht="13.5" thickTop="1" x14ac:dyDescent="0.2">
      <c r="A16" s="137"/>
      <c r="B16" s="137"/>
      <c r="C16" s="137"/>
      <c r="D16" s="137"/>
      <c r="E16" s="137"/>
      <c r="F16" s="137"/>
      <c r="G16" s="137"/>
      <c r="H16" s="137"/>
      <c r="I16" s="137"/>
      <c r="J16" s="137"/>
    </row>
    <row r="17" spans="1:10" x14ac:dyDescent="0.2">
      <c r="A17" s="152" t="s">
        <v>185</v>
      </c>
      <c r="B17" s="156"/>
      <c r="C17" s="137"/>
      <c r="D17" s="137"/>
      <c r="E17" s="137"/>
      <c r="F17" s="137"/>
      <c r="G17" s="137"/>
      <c r="H17" s="137"/>
      <c r="I17" s="137"/>
      <c r="J17" s="137"/>
    </row>
    <row r="18" spans="1:10" x14ac:dyDescent="0.2">
      <c r="A18" s="156" t="s">
        <v>186</v>
      </c>
      <c r="B18" s="156">
        <f>Depreciación.!C65</f>
        <v>433000</v>
      </c>
      <c r="C18" s="156">
        <f>Depreciación.!D65</f>
        <v>433000</v>
      </c>
      <c r="D18" s="156">
        <f>Depreciación.!E65</f>
        <v>433000</v>
      </c>
      <c r="E18" s="156">
        <f>Depreciación.!F65</f>
        <v>433000</v>
      </c>
      <c r="F18" s="156">
        <f>Depreciación.!G65</f>
        <v>433000</v>
      </c>
      <c r="G18" s="156">
        <f>Depreciación.!H65</f>
        <v>433000</v>
      </c>
      <c r="H18" s="156">
        <f>Depreciación.!I65</f>
        <v>433000</v>
      </c>
      <c r="I18" s="156">
        <f>Depreciación.!J65</f>
        <v>433000</v>
      </c>
      <c r="J18" s="156">
        <f>Depreciación.!K65</f>
        <v>433000</v>
      </c>
    </row>
    <row r="19" spans="1:10" x14ac:dyDescent="0.2">
      <c r="A19" s="137" t="s">
        <v>50</v>
      </c>
      <c r="B19" s="137">
        <f>Depreciación.!C67*-1</f>
        <v>-21650</v>
      </c>
      <c r="C19" s="137">
        <f>Depreciación.!D67*-1+B19</f>
        <v>-43300</v>
      </c>
      <c r="D19" s="137">
        <f>Depreciación.!E67*-1+C19</f>
        <v>-64950</v>
      </c>
      <c r="E19" s="137">
        <f>Depreciación.!F67*-1+D19</f>
        <v>-86600</v>
      </c>
      <c r="F19" s="137">
        <f>Depreciación.!G67*-1+E19</f>
        <v>-108250</v>
      </c>
      <c r="G19" s="137">
        <f>Depreciación.!H67*-1+F19</f>
        <v>-129900</v>
      </c>
      <c r="H19" s="137">
        <f>Depreciación.!I67*-1+G19</f>
        <v>-151550</v>
      </c>
      <c r="I19" s="137">
        <f>Depreciación.!J67*-1+H19</f>
        <v>-173200</v>
      </c>
      <c r="J19" s="137">
        <f>Depreciación.!K67*-1+I19</f>
        <v>-194850</v>
      </c>
    </row>
    <row r="20" spans="1:10" x14ac:dyDescent="0.2">
      <c r="A20" s="156" t="s">
        <v>187</v>
      </c>
      <c r="B20" s="156">
        <f>Depreciación.!C47</f>
        <v>889000</v>
      </c>
      <c r="C20" s="156">
        <f>Depreciación.!D47</f>
        <v>889000</v>
      </c>
      <c r="D20" s="156">
        <f>Depreciación.!E47</f>
        <v>889000</v>
      </c>
      <c r="E20" s="156">
        <f>Depreciación.!F47</f>
        <v>889000</v>
      </c>
      <c r="F20" s="156">
        <f>Depreciación.!G47</f>
        <v>889000</v>
      </c>
      <c r="G20" s="156">
        <f>Depreciación.!H47</f>
        <v>889000</v>
      </c>
      <c r="H20" s="156">
        <f>Depreciación.!I47</f>
        <v>889000</v>
      </c>
      <c r="I20" s="156">
        <f>Depreciación.!J47</f>
        <v>889000</v>
      </c>
      <c r="J20" s="156">
        <f>Depreciación.!K47</f>
        <v>889000</v>
      </c>
    </row>
    <row r="21" spans="1:10" x14ac:dyDescent="0.2">
      <c r="A21" s="137" t="s">
        <v>50</v>
      </c>
      <c r="B21" s="137">
        <f>Depreciación.!C49*-1</f>
        <v>-177800</v>
      </c>
      <c r="C21" s="137">
        <f>Depreciación.!D49*-1+B21</f>
        <v>-355600</v>
      </c>
      <c r="D21" s="137">
        <f>Depreciación.!E49*-1+C21</f>
        <v>-533400</v>
      </c>
      <c r="E21" s="137">
        <f>Depreciación.!F49*-1+D21</f>
        <v>-711200</v>
      </c>
      <c r="F21" s="137">
        <f>Depreciación.!G49*-1+E21</f>
        <v>-889000</v>
      </c>
      <c r="G21" s="137">
        <f>Depreciación.!H49*-1+F21</f>
        <v>-1066800</v>
      </c>
      <c r="H21" s="137">
        <f>Depreciación.!I49*-1+G21</f>
        <v>-1244600</v>
      </c>
      <c r="I21" s="137">
        <f>Depreciación.!J49*-1+H21</f>
        <v>-1422400</v>
      </c>
      <c r="J21" s="137">
        <f>Depreciación.!K49*-1+I21</f>
        <v>-1600200</v>
      </c>
    </row>
    <row r="22" spans="1:10" x14ac:dyDescent="0.2">
      <c r="A22" s="156" t="s">
        <v>188</v>
      </c>
      <c r="B22" s="156">
        <f>Depreciación.!C24</f>
        <v>653000</v>
      </c>
      <c r="C22" s="156">
        <f>Depreciación.!D24</f>
        <v>653000</v>
      </c>
      <c r="D22" s="156">
        <f>Depreciación.!E24</f>
        <v>653000</v>
      </c>
      <c r="E22" s="156">
        <f>Depreciación.!F24</f>
        <v>653000</v>
      </c>
      <c r="F22" s="156">
        <f>Depreciación.!G24</f>
        <v>653000</v>
      </c>
      <c r="G22" s="156">
        <f>Depreciación.!H24</f>
        <v>653000</v>
      </c>
      <c r="H22" s="156">
        <f>Depreciación.!I24</f>
        <v>653000</v>
      </c>
      <c r="I22" s="156">
        <f>Depreciación.!J24</f>
        <v>653000</v>
      </c>
      <c r="J22" s="156">
        <f>Depreciación.!K24</f>
        <v>653000</v>
      </c>
    </row>
    <row r="23" spans="1:10" x14ac:dyDescent="0.2">
      <c r="A23" s="137" t="s">
        <v>50</v>
      </c>
      <c r="B23" s="137">
        <f>Depreciación.!C26*-1</f>
        <v>-52240</v>
      </c>
      <c r="C23" s="137">
        <f>Depreciación.!D26*-1+B23</f>
        <v>-104480</v>
      </c>
      <c r="D23" s="137">
        <f>Depreciación.!E26*-1+C23</f>
        <v>-156720</v>
      </c>
      <c r="E23" s="137">
        <f>Depreciación.!F26*-1+D23</f>
        <v>-208960</v>
      </c>
      <c r="F23" s="137">
        <f>Depreciación.!G26*-1+E23</f>
        <v>-261200</v>
      </c>
      <c r="G23" s="137">
        <f>Depreciación.!H26*-1+F23</f>
        <v>-313440</v>
      </c>
      <c r="H23" s="137">
        <f>Depreciación.!I26*-1+G23</f>
        <v>-365680</v>
      </c>
      <c r="I23" s="137">
        <f>Depreciación.!J26*-1+H23</f>
        <v>-417920</v>
      </c>
      <c r="J23" s="137">
        <f>Depreciación.!K26*-1+I23</f>
        <v>-470160</v>
      </c>
    </row>
    <row r="24" spans="1:10" x14ac:dyDescent="0.2">
      <c r="A24" s="156" t="s">
        <v>189</v>
      </c>
      <c r="B24" s="156">
        <f>Depreciación.!C85</f>
        <v>69350</v>
      </c>
      <c r="C24" s="156">
        <f>Depreciación.!D85</f>
        <v>69350</v>
      </c>
      <c r="D24" s="156">
        <f>Depreciación.!E85</f>
        <v>69350</v>
      </c>
      <c r="E24" s="156">
        <f>Depreciación.!F85</f>
        <v>69350</v>
      </c>
      <c r="F24" s="156">
        <f>Depreciación.!G85</f>
        <v>69350</v>
      </c>
      <c r="G24" s="156">
        <f>Depreciación.!H85</f>
        <v>69350</v>
      </c>
      <c r="H24" s="156">
        <f>Depreciación.!I85</f>
        <v>69350</v>
      </c>
      <c r="I24" s="156">
        <f>Depreciación.!J85</f>
        <v>69350</v>
      </c>
      <c r="J24" s="156">
        <f>Depreciación.!K85</f>
        <v>69350</v>
      </c>
    </row>
    <row r="25" spans="1:10" x14ac:dyDescent="0.2">
      <c r="A25" s="137" t="s">
        <v>50</v>
      </c>
      <c r="B25" s="137">
        <f>Depreciación.!C87*-1</f>
        <v>-5894.75</v>
      </c>
      <c r="C25" s="137">
        <f>Depreciación.!D87*-1+B25</f>
        <v>-11789.5</v>
      </c>
      <c r="D25" s="137">
        <f>Depreciación.!E87*-1+C25</f>
        <v>-17684.25</v>
      </c>
      <c r="E25" s="137">
        <f>Depreciación.!F87*-1+D25</f>
        <v>-23579</v>
      </c>
      <c r="F25" s="137">
        <f>Depreciación.!G87*-1+E25</f>
        <v>-29473.75</v>
      </c>
      <c r="G25" s="137">
        <f>Depreciación.!H87*-1+F25</f>
        <v>-35368.5</v>
      </c>
      <c r="H25" s="137">
        <f>Depreciación.!I87*-1+G25</f>
        <v>-41263.25</v>
      </c>
      <c r="I25" s="137">
        <f>Depreciación.!J87*-1+H25</f>
        <v>-47158</v>
      </c>
      <c r="J25" s="137">
        <f>Depreciación.!K87*-1+I25</f>
        <v>-53052.75</v>
      </c>
    </row>
    <row r="26" spans="1:10" x14ac:dyDescent="0.2">
      <c r="A26" s="137"/>
      <c r="B26" s="137"/>
      <c r="C26" s="137"/>
      <c r="D26" s="137"/>
      <c r="E26" s="137"/>
      <c r="F26" s="137"/>
      <c r="G26" s="137"/>
      <c r="H26" s="137"/>
      <c r="I26" s="137"/>
      <c r="J26" s="137"/>
    </row>
    <row r="27" spans="1:10" ht="13.5" thickBot="1" x14ac:dyDescent="0.25">
      <c r="A27" s="155" t="s">
        <v>190</v>
      </c>
      <c r="B27" s="155">
        <f t="shared" ref="B27:J27" si="3">SUM(B18:B25)</f>
        <v>1786765.25</v>
      </c>
      <c r="C27" s="155">
        <f t="shared" si="3"/>
        <v>1529180.5</v>
      </c>
      <c r="D27" s="155">
        <f t="shared" si="3"/>
        <v>1271595.75</v>
      </c>
      <c r="E27" s="155">
        <f t="shared" si="3"/>
        <v>1014011</v>
      </c>
      <c r="F27" s="155">
        <f t="shared" si="3"/>
        <v>756426.25</v>
      </c>
      <c r="G27" s="155">
        <f t="shared" si="3"/>
        <v>498841.5</v>
      </c>
      <c r="H27" s="155">
        <f t="shared" si="3"/>
        <v>241256.75</v>
      </c>
      <c r="I27" s="155">
        <f t="shared" si="3"/>
        <v>-16328</v>
      </c>
      <c r="J27" s="155">
        <f t="shared" si="3"/>
        <v>-273912.75</v>
      </c>
    </row>
    <row r="28" spans="1:10" ht="13.5" thickTop="1" x14ac:dyDescent="0.2">
      <c r="A28" s="137"/>
      <c r="B28" s="137"/>
      <c r="C28" s="137"/>
      <c r="D28" s="137"/>
      <c r="E28" s="137"/>
      <c r="F28" s="137"/>
      <c r="G28" s="137"/>
      <c r="H28" s="137"/>
      <c r="I28" s="137"/>
      <c r="J28" s="137"/>
    </row>
    <row r="29" spans="1:10" x14ac:dyDescent="0.2">
      <c r="A29" s="152" t="s">
        <v>191</v>
      </c>
      <c r="B29" s="137"/>
      <c r="C29" s="137"/>
      <c r="D29" s="137"/>
      <c r="E29" s="137"/>
      <c r="F29" s="137"/>
      <c r="G29" s="137"/>
      <c r="H29" s="137"/>
      <c r="I29" s="137"/>
      <c r="J29" s="137"/>
    </row>
    <row r="30" spans="1:10" x14ac:dyDescent="0.2">
      <c r="A30" s="156" t="s">
        <v>192</v>
      </c>
      <c r="B30" s="137"/>
      <c r="C30" s="137"/>
      <c r="D30" s="137"/>
      <c r="E30" s="137"/>
      <c r="F30" s="137"/>
      <c r="G30" s="137"/>
      <c r="H30" s="137"/>
      <c r="I30" s="137"/>
      <c r="J30" s="137"/>
    </row>
    <row r="31" spans="1:10" x14ac:dyDescent="0.2">
      <c r="A31" s="154" t="s">
        <v>193</v>
      </c>
      <c r="B31" s="137"/>
      <c r="C31" s="137"/>
      <c r="D31" s="137"/>
      <c r="E31" s="137"/>
      <c r="F31" s="137"/>
      <c r="G31" s="137"/>
      <c r="H31" s="137"/>
      <c r="I31" s="137"/>
      <c r="J31" s="137"/>
    </row>
    <row r="32" spans="1:10" x14ac:dyDescent="0.2">
      <c r="A32" s="137"/>
      <c r="B32" s="137"/>
      <c r="C32" s="137"/>
      <c r="D32" s="137"/>
      <c r="E32" s="137"/>
      <c r="F32" s="137"/>
      <c r="G32" s="137"/>
      <c r="H32" s="137"/>
      <c r="I32" s="137"/>
      <c r="J32" s="137"/>
    </row>
    <row r="33" spans="1:10" ht="13.5" thickBot="1" x14ac:dyDescent="0.25">
      <c r="A33" s="155" t="s">
        <v>194</v>
      </c>
      <c r="B33" s="155">
        <f t="shared" ref="B33:J33" si="4">SUM(B30:B31)</f>
        <v>0</v>
      </c>
      <c r="C33" s="155">
        <f t="shared" si="4"/>
        <v>0</v>
      </c>
      <c r="D33" s="155">
        <f t="shared" si="4"/>
        <v>0</v>
      </c>
      <c r="E33" s="155">
        <f t="shared" si="4"/>
        <v>0</v>
      </c>
      <c r="F33" s="155">
        <f t="shared" si="4"/>
        <v>0</v>
      </c>
      <c r="G33" s="155">
        <f t="shared" si="4"/>
        <v>0</v>
      </c>
      <c r="H33" s="155">
        <f t="shared" si="4"/>
        <v>0</v>
      </c>
      <c r="I33" s="155">
        <f t="shared" si="4"/>
        <v>0</v>
      </c>
      <c r="J33" s="155">
        <f t="shared" si="4"/>
        <v>0</v>
      </c>
    </row>
    <row r="34" spans="1:10" ht="13.5" thickTop="1" x14ac:dyDescent="0.2">
      <c r="A34" s="137"/>
      <c r="B34" s="137"/>
      <c r="C34" s="137"/>
      <c r="D34" s="137"/>
      <c r="E34" s="137"/>
      <c r="F34" s="137"/>
      <c r="G34" s="137"/>
      <c r="H34" s="137"/>
      <c r="I34" s="137"/>
      <c r="J34" s="137"/>
    </row>
    <row r="35" spans="1:10" ht="13.5" thickBot="1" x14ac:dyDescent="0.25">
      <c r="A35" s="157" t="s">
        <v>195</v>
      </c>
      <c r="B35" s="157">
        <f t="shared" ref="B35:J35" si="5">B15+B27+B33</f>
        <v>11443170.25</v>
      </c>
      <c r="C35" s="157">
        <f t="shared" si="5"/>
        <v>33864591.5</v>
      </c>
      <c r="D35" s="157">
        <f t="shared" si="5"/>
        <v>6115587.0795000717</v>
      </c>
      <c r="E35" s="157">
        <f t="shared" si="5"/>
        <v>-15766132.403037347</v>
      </c>
      <c r="F35" s="157">
        <f t="shared" si="5"/>
        <v>-70414198.839131624</v>
      </c>
      <c r="G35" s="157">
        <f t="shared" si="5"/>
        <v>-187981813.72586465</v>
      </c>
      <c r="H35" s="157">
        <f t="shared" si="5"/>
        <v>-188239398.47586465</v>
      </c>
      <c r="I35" s="157">
        <f t="shared" si="5"/>
        <v>-188496983.22586465</v>
      </c>
      <c r="J35" s="157">
        <f t="shared" si="5"/>
        <v>-188754567.97586465</v>
      </c>
    </row>
    <row r="36" spans="1:10" x14ac:dyDescent="0.2">
      <c r="A36" s="137"/>
      <c r="B36" s="137"/>
      <c r="C36" s="137"/>
      <c r="D36" s="137"/>
      <c r="E36" s="137"/>
      <c r="F36" s="137"/>
      <c r="G36" s="137"/>
      <c r="H36" s="137"/>
      <c r="I36" s="137"/>
      <c r="J36" s="137"/>
    </row>
    <row r="37" spans="1:10" x14ac:dyDescent="0.2">
      <c r="A37" s="152" t="s">
        <v>196</v>
      </c>
      <c r="B37" s="137"/>
      <c r="C37" s="137"/>
      <c r="D37" s="137"/>
      <c r="E37" s="137"/>
      <c r="F37" s="137"/>
      <c r="G37" s="137"/>
      <c r="H37" s="137"/>
      <c r="I37" s="137"/>
      <c r="J37" s="137"/>
    </row>
    <row r="38" spans="1:10" x14ac:dyDescent="0.2">
      <c r="A38" s="156" t="s">
        <v>197</v>
      </c>
      <c r="B38" s="156">
        <f>Premisas!B21*'Edo-Re'!B8</f>
        <v>4469682</v>
      </c>
      <c r="C38" s="156">
        <f>Premisas!C21*'Edo-Re'!C8</f>
        <v>15336602.399999999</v>
      </c>
      <c r="D38" s="156">
        <f>Premisas!D21*'Edo-Re'!D8</f>
        <v>17600327.283</v>
      </c>
      <c r="E38" s="156">
        <f>Premisas!E21*'Edo-Re'!E8</f>
        <v>20878816.606725</v>
      </c>
      <c r="F38" s="156">
        <f>Premisas!F21*'Edo-Re'!F8</f>
        <v>19736825.342965499</v>
      </c>
      <c r="G38" s="156">
        <f>Premisas!G21*'Edo-Re'!G8</f>
        <v>0</v>
      </c>
      <c r="H38" s="156">
        <f>Premisas!H21*'Edo-Re'!H8</f>
        <v>0</v>
      </c>
      <c r="I38" s="156">
        <f>Premisas!I21*'Edo-Re'!I8</f>
        <v>0</v>
      </c>
      <c r="J38" s="156">
        <f>Premisas!J21*'Edo-Re'!J8</f>
        <v>0</v>
      </c>
    </row>
    <row r="39" spans="1:10" x14ac:dyDescent="0.2">
      <c r="A39" s="154" t="s">
        <v>198</v>
      </c>
      <c r="B39" s="154">
        <f>Premisas!B20*'Edo-Re'!B11</f>
        <v>3613500</v>
      </c>
      <c r="C39" s="154">
        <f>Premisas!C20*'Edo-Re'!C11</f>
        <v>54831270.899999991</v>
      </c>
      <c r="D39" s="154">
        <f>Premisas!D20*'Edo-Re'!D11</f>
        <v>65508804.240000002</v>
      </c>
      <c r="E39" s="154">
        <f>Premisas!E20*'Edo-Re'!E11</f>
        <v>78582030.48300001</v>
      </c>
      <c r="F39" s="154">
        <f>Premisas!F20*'Edo-Re'!F11</f>
        <v>86484827.993767515</v>
      </c>
      <c r="G39" s="154">
        <f>Premisas!G20*'Edo-Re'!G11</f>
        <v>0</v>
      </c>
      <c r="H39" s="154">
        <f>Premisas!H20*'Edo-Re'!H11</f>
        <v>0</v>
      </c>
      <c r="I39" s="154">
        <f>Premisas!I20*'Edo-Re'!I11</f>
        <v>0</v>
      </c>
      <c r="J39" s="154">
        <f>Premisas!J20*'Edo-Re'!J11</f>
        <v>0</v>
      </c>
    </row>
    <row r="40" spans="1:10" x14ac:dyDescent="0.2">
      <c r="A40" s="154" t="s">
        <v>199</v>
      </c>
      <c r="B40" s="154">
        <f>Premisas!B20*'Edo-Re'!B12</f>
        <v>19339932</v>
      </c>
      <c r="C40" s="154">
        <f>Premisas!C20*'Edo-Re'!C12</f>
        <v>21467688</v>
      </c>
      <c r="D40" s="154">
        <f>Premisas!D20*'Edo-Re'!D12</f>
        <v>20390389.200000003</v>
      </c>
      <c r="E40" s="154">
        <f>Premisas!E20*'Edo-Re'!E12</f>
        <v>21872269.200000003</v>
      </c>
      <c r="F40" s="154">
        <f>Premisas!F20*'Edo-Re'!F12</f>
        <v>11088376.800000001</v>
      </c>
      <c r="G40" s="154">
        <f>Premisas!G20*'Edo-Re'!G12</f>
        <v>0</v>
      </c>
      <c r="H40" s="154">
        <f>Premisas!H20*'Edo-Re'!H12</f>
        <v>0</v>
      </c>
      <c r="I40" s="154">
        <f>Premisas!I20*'Edo-Re'!I12</f>
        <v>0</v>
      </c>
      <c r="J40" s="154">
        <f>Premisas!J20*'Edo-Re'!J12</f>
        <v>0</v>
      </c>
    </row>
    <row r="41" spans="1:10" x14ac:dyDescent="0.2">
      <c r="A41" s="154" t="s">
        <v>200</v>
      </c>
      <c r="B41" s="154">
        <f>Premisas!B20*'Edo-Re'!B13</f>
        <v>0</v>
      </c>
      <c r="C41" s="154">
        <f>Premisas!C20*'Edo-Re'!C13</f>
        <v>0</v>
      </c>
      <c r="D41" s="154">
        <f>Premisas!D20*'Edo-Re'!D13</f>
        <v>0</v>
      </c>
      <c r="E41" s="154">
        <f>Premisas!E20*'Edo-Re'!E13</f>
        <v>0</v>
      </c>
      <c r="F41" s="154">
        <f>Premisas!F20*'Edo-Re'!F13</f>
        <v>0</v>
      </c>
      <c r="G41" s="154">
        <f>Premisas!G20*'Edo-Re'!G13</f>
        <v>0</v>
      </c>
      <c r="H41" s="154">
        <f>Premisas!H20*'Edo-Re'!H13</f>
        <v>0</v>
      </c>
      <c r="I41" s="154">
        <f>Premisas!I20*'Edo-Re'!I13</f>
        <v>0</v>
      </c>
      <c r="J41" s="154">
        <f>Premisas!J20*'Edo-Re'!J13</f>
        <v>0</v>
      </c>
    </row>
    <row r="42" spans="1:10" x14ac:dyDescent="0.2">
      <c r="A42" s="137"/>
      <c r="B42" s="137"/>
      <c r="C42" s="137"/>
      <c r="D42" s="137"/>
      <c r="E42" s="137"/>
      <c r="F42" s="137"/>
      <c r="G42" s="137"/>
      <c r="H42" s="137"/>
      <c r="I42" s="137"/>
      <c r="J42" s="137"/>
    </row>
    <row r="43" spans="1:10" ht="13.5" thickBot="1" x14ac:dyDescent="0.25">
      <c r="A43" s="155" t="s">
        <v>201</v>
      </c>
      <c r="B43" s="155">
        <f t="shared" ref="B43:J43" si="6">SUM(B38:B41)</f>
        <v>27423114</v>
      </c>
      <c r="C43" s="155">
        <f t="shared" si="6"/>
        <v>91635561.299999982</v>
      </c>
      <c r="D43" s="155">
        <f t="shared" si="6"/>
        <v>103499520.723</v>
      </c>
      <c r="E43" s="155">
        <f t="shared" si="6"/>
        <v>121333116.28972502</v>
      </c>
      <c r="F43" s="155">
        <f t="shared" si="6"/>
        <v>117310030.13673301</v>
      </c>
      <c r="G43" s="155">
        <f t="shared" si="6"/>
        <v>0</v>
      </c>
      <c r="H43" s="155">
        <f t="shared" si="6"/>
        <v>0</v>
      </c>
      <c r="I43" s="155">
        <f t="shared" si="6"/>
        <v>0</v>
      </c>
      <c r="J43" s="155">
        <f t="shared" si="6"/>
        <v>0</v>
      </c>
    </row>
    <row r="44" spans="1:10" ht="13.5" thickTop="1" x14ac:dyDescent="0.2">
      <c r="A44" s="137"/>
      <c r="B44" s="137"/>
      <c r="C44" s="137"/>
      <c r="D44" s="137"/>
      <c r="E44" s="137"/>
      <c r="F44" s="137"/>
      <c r="G44" s="137"/>
      <c r="H44" s="137"/>
      <c r="I44" s="137"/>
      <c r="J44" s="137"/>
    </row>
    <row r="45" spans="1:10" x14ac:dyDescent="0.2">
      <c r="A45" s="152" t="s">
        <v>202</v>
      </c>
      <c r="B45" s="137"/>
      <c r="C45" s="137"/>
      <c r="D45" s="137"/>
      <c r="E45" s="137"/>
      <c r="F45" s="137"/>
      <c r="G45" s="137"/>
      <c r="H45" s="137"/>
      <c r="I45" s="137"/>
      <c r="J45" s="137"/>
    </row>
    <row r="46" spans="1:10" x14ac:dyDescent="0.2">
      <c r="A46" s="156" t="s">
        <v>203</v>
      </c>
      <c r="B46" s="156">
        <f>Flujo!B6</f>
        <v>1000</v>
      </c>
      <c r="C46" s="156">
        <f>B46</f>
        <v>1000</v>
      </c>
      <c r="D46" s="156">
        <f>C46</f>
        <v>1000</v>
      </c>
      <c r="E46" s="156">
        <f>D46</f>
        <v>1000</v>
      </c>
      <c r="F46" s="156">
        <v>0</v>
      </c>
      <c r="G46" s="156">
        <v>0</v>
      </c>
      <c r="H46" s="156">
        <v>0</v>
      </c>
      <c r="I46" s="156">
        <v>0</v>
      </c>
      <c r="J46" s="156">
        <v>0</v>
      </c>
    </row>
    <row r="47" spans="1:10" x14ac:dyDescent="0.2">
      <c r="A47" s="156" t="s">
        <v>204</v>
      </c>
      <c r="B47" s="156">
        <v>0</v>
      </c>
      <c r="C47" s="156">
        <v>0</v>
      </c>
      <c r="D47" s="156">
        <v>0</v>
      </c>
      <c r="E47" s="156">
        <v>0</v>
      </c>
      <c r="F47" s="156">
        <v>0</v>
      </c>
      <c r="G47" s="156">
        <v>0</v>
      </c>
      <c r="H47" s="156">
        <v>0</v>
      </c>
      <c r="I47" s="156">
        <v>0</v>
      </c>
      <c r="J47" s="156">
        <v>0</v>
      </c>
    </row>
    <row r="48" spans="1:10" x14ac:dyDescent="0.2">
      <c r="A48" s="137"/>
      <c r="B48" s="137"/>
      <c r="C48" s="137"/>
      <c r="D48" s="137"/>
      <c r="E48" s="137"/>
      <c r="F48" s="137"/>
      <c r="G48" s="137"/>
      <c r="H48" s="137"/>
      <c r="I48" s="137"/>
      <c r="J48" s="137"/>
    </row>
    <row r="49" spans="1:10" ht="13.5" thickBot="1" x14ac:dyDescent="0.25">
      <c r="A49" s="155" t="s">
        <v>205</v>
      </c>
      <c r="B49" s="155">
        <f t="shared" ref="B49:J49" si="7">SUM(B45:B47)</f>
        <v>1000</v>
      </c>
      <c r="C49" s="155">
        <f t="shared" si="7"/>
        <v>1000</v>
      </c>
      <c r="D49" s="155">
        <f t="shared" si="7"/>
        <v>1000</v>
      </c>
      <c r="E49" s="155">
        <f t="shared" si="7"/>
        <v>1000</v>
      </c>
      <c r="F49" s="155">
        <f t="shared" si="7"/>
        <v>0</v>
      </c>
      <c r="G49" s="155">
        <f t="shared" si="7"/>
        <v>0</v>
      </c>
      <c r="H49" s="155">
        <f t="shared" si="7"/>
        <v>0</v>
      </c>
      <c r="I49" s="155">
        <f t="shared" si="7"/>
        <v>0</v>
      </c>
      <c r="J49" s="155">
        <f t="shared" si="7"/>
        <v>0</v>
      </c>
    </row>
    <row r="50" spans="1:10" ht="13.5" thickTop="1" x14ac:dyDescent="0.2">
      <c r="A50" s="137"/>
      <c r="B50" s="137"/>
      <c r="C50" s="137"/>
      <c r="D50" s="137"/>
      <c r="E50" s="137"/>
      <c r="F50" s="137"/>
      <c r="G50" s="137"/>
      <c r="H50" s="137"/>
      <c r="I50" s="137"/>
      <c r="J50" s="137"/>
    </row>
    <row r="51" spans="1:10" ht="13.5" thickBot="1" x14ac:dyDescent="0.25">
      <c r="A51" s="157" t="s">
        <v>206</v>
      </c>
      <c r="B51" s="157">
        <f t="shared" ref="B51:J51" si="8">B43+B49</f>
        <v>27424114</v>
      </c>
      <c r="C51" s="157">
        <f t="shared" si="8"/>
        <v>91636561.299999982</v>
      </c>
      <c r="D51" s="157">
        <f t="shared" si="8"/>
        <v>103500520.723</v>
      </c>
      <c r="E51" s="157">
        <f t="shared" si="8"/>
        <v>121334116.28972502</v>
      </c>
      <c r="F51" s="157">
        <f t="shared" si="8"/>
        <v>117310030.13673301</v>
      </c>
      <c r="G51" s="157">
        <f t="shared" si="8"/>
        <v>0</v>
      </c>
      <c r="H51" s="157">
        <f t="shared" si="8"/>
        <v>0</v>
      </c>
      <c r="I51" s="157">
        <f t="shared" si="8"/>
        <v>0</v>
      </c>
      <c r="J51" s="157">
        <f t="shared" si="8"/>
        <v>0</v>
      </c>
    </row>
    <row r="52" spans="1:10" x14ac:dyDescent="0.2">
      <c r="A52" s="137"/>
      <c r="B52" s="137"/>
      <c r="C52" s="137"/>
      <c r="D52" s="137"/>
      <c r="E52" s="137"/>
      <c r="F52" s="137"/>
      <c r="G52" s="137"/>
      <c r="H52" s="137"/>
      <c r="I52" s="137"/>
      <c r="J52" s="137"/>
    </row>
    <row r="53" spans="1:10" x14ac:dyDescent="0.2">
      <c r="A53" s="152" t="s">
        <v>207</v>
      </c>
      <c r="B53" s="137"/>
      <c r="C53" s="137"/>
      <c r="D53" s="137"/>
      <c r="E53" s="137"/>
      <c r="F53" s="137"/>
      <c r="G53" s="137"/>
      <c r="H53" s="137"/>
      <c r="I53" s="137"/>
      <c r="J53" s="137"/>
    </row>
    <row r="54" spans="1:10" x14ac:dyDescent="0.2">
      <c r="A54" s="137" t="s">
        <v>208</v>
      </c>
      <c r="B54" s="137">
        <f>B35-B51-B55-B56</f>
        <v>-34150</v>
      </c>
      <c r="C54" s="137">
        <f t="shared" ref="C54:J54" si="9">B54</f>
        <v>-34150</v>
      </c>
      <c r="D54" s="137">
        <f t="shared" si="9"/>
        <v>-34150</v>
      </c>
      <c r="E54" s="137">
        <f t="shared" si="9"/>
        <v>-34150</v>
      </c>
      <c r="F54" s="137">
        <f t="shared" si="9"/>
        <v>-34150</v>
      </c>
      <c r="G54" s="137">
        <f t="shared" si="9"/>
        <v>-34150</v>
      </c>
      <c r="H54" s="137">
        <f t="shared" si="9"/>
        <v>-34150</v>
      </c>
      <c r="I54" s="137">
        <f t="shared" si="9"/>
        <v>-34150</v>
      </c>
      <c r="J54" s="137">
        <f t="shared" si="9"/>
        <v>-34150</v>
      </c>
    </row>
    <row r="55" spans="1:10" x14ac:dyDescent="0.2">
      <c r="A55" s="137" t="s">
        <v>209</v>
      </c>
      <c r="B55" s="137">
        <f>'Edo-Re'!B43</f>
        <v>-15946793.75</v>
      </c>
      <c r="C55" s="137">
        <f>'Edo-Re'!C43</f>
        <v>-41791026.04999996</v>
      </c>
      <c r="D55" s="137">
        <f>'Edo-Re'!D43</f>
        <v>-39612963.843499959</v>
      </c>
      <c r="E55" s="137">
        <f>'Edo-Re'!E43</f>
        <v>-39715315.049262494</v>
      </c>
      <c r="F55" s="137">
        <f>'Edo-Re'!F43</f>
        <v>-50623980.283102326</v>
      </c>
      <c r="G55" s="137">
        <f>'Edo-Re'!G43</f>
        <v>-257584.75</v>
      </c>
      <c r="H55" s="137">
        <f>'Edo-Re'!H43</f>
        <v>-257584.75</v>
      </c>
      <c r="I55" s="137">
        <f>'Edo-Re'!I43</f>
        <v>-257584.75</v>
      </c>
      <c r="J55" s="137">
        <f>'Edo-Re'!J43</f>
        <v>-257584.75</v>
      </c>
    </row>
    <row r="56" spans="1:10" x14ac:dyDescent="0.2">
      <c r="A56" s="137" t="s">
        <v>210</v>
      </c>
      <c r="B56" s="137">
        <v>0</v>
      </c>
      <c r="C56" s="137">
        <f t="shared" ref="C56:J56" si="10">SUM(B55:B56)</f>
        <v>-15946793.75</v>
      </c>
      <c r="D56" s="137">
        <f t="shared" si="10"/>
        <v>-57737819.79999996</v>
      </c>
      <c r="E56" s="137">
        <f t="shared" si="10"/>
        <v>-97350783.643499911</v>
      </c>
      <c r="F56" s="137">
        <f t="shared" si="10"/>
        <v>-137066098.6927624</v>
      </c>
      <c r="G56" s="137">
        <f t="shared" si="10"/>
        <v>-187690078.97586474</v>
      </c>
      <c r="H56" s="137">
        <f t="shared" si="10"/>
        <v>-187947663.72586474</v>
      </c>
      <c r="I56" s="137">
        <f t="shared" si="10"/>
        <v>-188205248.47586474</v>
      </c>
      <c r="J56" s="137">
        <f t="shared" si="10"/>
        <v>-188462833.22586474</v>
      </c>
    </row>
    <row r="57" spans="1:10" x14ac:dyDescent="0.2">
      <c r="A57" s="137"/>
      <c r="B57" s="137"/>
      <c r="C57" s="137"/>
      <c r="D57" s="137"/>
      <c r="E57" s="137"/>
      <c r="F57" s="137"/>
      <c r="G57" s="137"/>
      <c r="H57" s="137"/>
      <c r="I57" s="137"/>
      <c r="J57" s="137"/>
    </row>
    <row r="58" spans="1:10" ht="13.5" thickBot="1" x14ac:dyDescent="0.25">
      <c r="A58" s="157" t="s">
        <v>211</v>
      </c>
      <c r="B58" s="157">
        <f t="shared" ref="B58:J58" si="11">SUM(B54:B56)</f>
        <v>-15980943.75</v>
      </c>
      <c r="C58" s="157">
        <f t="shared" si="11"/>
        <v>-57771969.79999996</v>
      </c>
      <c r="D58" s="157">
        <f t="shared" si="11"/>
        <v>-97384933.643499911</v>
      </c>
      <c r="E58" s="157">
        <f t="shared" si="11"/>
        <v>-137100248.6927624</v>
      </c>
      <c r="F58" s="157">
        <f t="shared" si="11"/>
        <v>-187724228.97586474</v>
      </c>
      <c r="G58" s="157">
        <f t="shared" si="11"/>
        <v>-187981813.72586474</v>
      </c>
      <c r="H58" s="157">
        <f t="shared" si="11"/>
        <v>-188239398.47586474</v>
      </c>
      <c r="I58" s="157">
        <f t="shared" si="11"/>
        <v>-188496983.22586474</v>
      </c>
      <c r="J58" s="157">
        <f t="shared" si="11"/>
        <v>-188754567.97586474</v>
      </c>
    </row>
    <row r="59" spans="1:10" x14ac:dyDescent="0.2">
      <c r="A59" s="137"/>
      <c r="B59" s="137"/>
      <c r="C59" s="137"/>
      <c r="D59" s="137"/>
      <c r="E59" s="137"/>
      <c r="F59" s="137"/>
      <c r="G59" s="137"/>
      <c r="H59" s="137"/>
      <c r="I59" s="137"/>
      <c r="J59" s="137"/>
    </row>
    <row r="60" spans="1:10" ht="13.5" thickBot="1" x14ac:dyDescent="0.25">
      <c r="A60" s="157" t="s">
        <v>212</v>
      </c>
      <c r="B60" s="157">
        <f t="shared" ref="B60:J60" si="12">B35-(B51+B58)</f>
        <v>0</v>
      </c>
      <c r="C60" s="157">
        <f t="shared" si="12"/>
        <v>0</v>
      </c>
      <c r="D60" s="157">
        <f t="shared" si="12"/>
        <v>-2.2351741790771484E-8</v>
      </c>
      <c r="E60" s="157">
        <f t="shared" si="12"/>
        <v>3.7252902984619141E-8</v>
      </c>
      <c r="F60" s="157">
        <f t="shared" si="12"/>
        <v>0</v>
      </c>
      <c r="G60" s="157">
        <f t="shared" si="12"/>
        <v>0</v>
      </c>
      <c r="H60" s="157">
        <f t="shared" si="12"/>
        <v>0</v>
      </c>
      <c r="I60" s="157">
        <f t="shared" si="12"/>
        <v>0</v>
      </c>
      <c r="J60" s="157">
        <f t="shared" si="12"/>
        <v>0</v>
      </c>
    </row>
    <row r="61" spans="1:10" x14ac:dyDescent="0.2">
      <c r="A61" s="137"/>
      <c r="B61" s="137"/>
      <c r="C61" s="137"/>
      <c r="D61" s="137"/>
      <c r="E61" s="137"/>
      <c r="F61" s="137"/>
      <c r="G61" s="137"/>
      <c r="H61" s="137"/>
      <c r="I61" s="137"/>
      <c r="J61" s="137"/>
    </row>
    <row r="62" spans="1:10" x14ac:dyDescent="0.2">
      <c r="A62" s="137"/>
      <c r="B62" s="137"/>
      <c r="C62" s="137"/>
      <c r="D62" s="137"/>
      <c r="E62" s="137"/>
      <c r="F62" s="137"/>
      <c r="G62" s="137"/>
      <c r="H62" s="137"/>
      <c r="I62" s="137"/>
      <c r="J62" s="137"/>
    </row>
    <row r="63" spans="1:10" x14ac:dyDescent="0.2">
      <c r="A63" s="137"/>
      <c r="B63" s="137"/>
      <c r="C63" s="137"/>
      <c r="D63" s="137"/>
      <c r="E63" s="137"/>
      <c r="F63" s="137"/>
      <c r="G63" s="137"/>
      <c r="H63" s="137"/>
      <c r="I63" s="137"/>
      <c r="J63" s="137"/>
    </row>
    <row r="64" spans="1:10" x14ac:dyDescent="0.2">
      <c r="A64" s="137"/>
      <c r="B64" s="137"/>
      <c r="C64" s="137"/>
      <c r="D64" s="137"/>
      <c r="E64" s="137"/>
      <c r="F64" s="137"/>
      <c r="G64" s="137"/>
      <c r="H64" s="137"/>
      <c r="I64" s="137"/>
      <c r="J64" s="137"/>
    </row>
    <row r="65" spans="1:10" x14ac:dyDescent="0.2">
      <c r="A65" s="137"/>
      <c r="B65" s="137"/>
      <c r="C65" s="137"/>
      <c r="D65" s="137"/>
      <c r="E65" s="137"/>
      <c r="F65" s="137"/>
      <c r="G65" s="137"/>
      <c r="H65" s="137"/>
      <c r="I65" s="137"/>
      <c r="J65" s="137"/>
    </row>
    <row r="66" spans="1:10" x14ac:dyDescent="0.2">
      <c r="A66" s="137"/>
      <c r="B66" s="137"/>
      <c r="C66" s="137"/>
      <c r="D66" s="137"/>
      <c r="E66" s="137"/>
      <c r="F66" s="137"/>
      <c r="G66" s="137"/>
      <c r="H66" s="137"/>
      <c r="I66" s="137"/>
      <c r="J66" s="137"/>
    </row>
    <row r="67" spans="1:10" x14ac:dyDescent="0.2">
      <c r="A67" s="137"/>
      <c r="B67" s="137"/>
      <c r="C67" s="137"/>
      <c r="D67" s="137"/>
      <c r="E67" s="137"/>
      <c r="F67" s="137"/>
      <c r="G67" s="137"/>
      <c r="H67" s="137"/>
      <c r="I67" s="137"/>
      <c r="J67" s="137"/>
    </row>
    <row r="68" spans="1:10" x14ac:dyDescent="0.2">
      <c r="A68" s="137"/>
      <c r="B68" s="137"/>
      <c r="C68" s="137"/>
      <c r="D68" s="137"/>
      <c r="E68" s="137"/>
      <c r="F68" s="137"/>
      <c r="G68" s="137"/>
      <c r="H68" s="137"/>
      <c r="I68" s="137"/>
      <c r="J68" s="137"/>
    </row>
    <row r="69" spans="1:10" x14ac:dyDescent="0.2">
      <c r="A69" s="137"/>
      <c r="B69" s="137"/>
      <c r="C69" s="137"/>
      <c r="D69" s="137"/>
      <c r="E69" s="137"/>
      <c r="F69" s="137"/>
      <c r="G69" s="137"/>
      <c r="H69" s="137"/>
      <c r="I69" s="137"/>
      <c r="J69" s="137"/>
    </row>
    <row r="70" spans="1:10" x14ac:dyDescent="0.2">
      <c r="A70" s="137"/>
      <c r="B70" s="137"/>
      <c r="C70" s="137"/>
      <c r="D70" s="137"/>
      <c r="E70" s="137"/>
      <c r="F70" s="137"/>
      <c r="G70" s="137"/>
      <c r="H70" s="137"/>
      <c r="I70" s="137"/>
      <c r="J70" s="137"/>
    </row>
    <row r="71" spans="1:10" x14ac:dyDescent="0.2">
      <c r="A71" s="137"/>
      <c r="B71" s="137"/>
      <c r="C71" s="137"/>
      <c r="D71" s="137"/>
      <c r="E71" s="137"/>
      <c r="F71" s="137"/>
      <c r="G71" s="137"/>
      <c r="H71" s="137"/>
      <c r="I71" s="137"/>
      <c r="J71" s="137"/>
    </row>
    <row r="72" spans="1:10" x14ac:dyDescent="0.2">
      <c r="A72" s="137"/>
      <c r="B72" s="137"/>
      <c r="C72" s="137"/>
      <c r="D72" s="137"/>
      <c r="E72" s="137"/>
      <c r="F72" s="137"/>
      <c r="G72" s="137"/>
      <c r="H72" s="137"/>
      <c r="I72" s="137"/>
      <c r="J72" s="137"/>
    </row>
    <row r="73" spans="1:10" x14ac:dyDescent="0.2">
      <c r="A73" s="137"/>
      <c r="B73" s="137"/>
      <c r="C73" s="137"/>
      <c r="D73" s="137"/>
      <c r="E73" s="137"/>
      <c r="F73" s="137"/>
      <c r="G73" s="137"/>
      <c r="H73" s="137"/>
      <c r="I73" s="137"/>
      <c r="J73" s="137"/>
    </row>
    <row r="74" spans="1:10" x14ac:dyDescent="0.2">
      <c r="A74" s="137"/>
      <c r="B74" s="137"/>
      <c r="C74" s="137"/>
      <c r="D74" s="137"/>
      <c r="E74" s="137"/>
      <c r="F74" s="137"/>
      <c r="G74" s="137"/>
      <c r="H74" s="137"/>
      <c r="I74" s="137"/>
      <c r="J74" s="137"/>
    </row>
    <row r="75" spans="1:10" x14ac:dyDescent="0.2">
      <c r="A75" s="137"/>
      <c r="B75" s="137"/>
      <c r="C75" s="137"/>
      <c r="D75" s="137"/>
      <c r="E75" s="137"/>
      <c r="F75" s="137"/>
      <c r="G75" s="137"/>
      <c r="H75" s="137"/>
      <c r="I75" s="137"/>
      <c r="J75" s="137"/>
    </row>
    <row r="76" spans="1:10" x14ac:dyDescent="0.2">
      <c r="A76" s="137"/>
      <c r="B76" s="137"/>
      <c r="C76" s="137"/>
      <c r="D76" s="137"/>
      <c r="E76" s="137"/>
      <c r="F76" s="137"/>
      <c r="G76" s="137"/>
      <c r="H76" s="137"/>
      <c r="I76" s="137"/>
      <c r="J76" s="137"/>
    </row>
    <row r="77" spans="1:10" x14ac:dyDescent="0.2">
      <c r="A77" s="137"/>
      <c r="B77" s="137"/>
      <c r="C77" s="137"/>
      <c r="D77" s="137"/>
      <c r="E77" s="137"/>
      <c r="F77" s="137"/>
      <c r="G77" s="137"/>
      <c r="H77" s="137"/>
      <c r="I77" s="137"/>
      <c r="J77" s="137"/>
    </row>
    <row r="78" spans="1:10" x14ac:dyDescent="0.2">
      <c r="A78" s="137"/>
      <c r="B78" s="137"/>
      <c r="C78" s="137"/>
      <c r="D78" s="137"/>
      <c r="E78" s="137"/>
      <c r="F78" s="137"/>
      <c r="G78" s="137"/>
      <c r="H78" s="137"/>
      <c r="I78" s="137"/>
      <c r="J78" s="137"/>
    </row>
    <row r="79" spans="1:10" x14ac:dyDescent="0.2">
      <c r="A79" s="137"/>
      <c r="B79" s="137"/>
      <c r="C79" s="137"/>
      <c r="D79" s="137"/>
      <c r="E79" s="137"/>
      <c r="F79" s="137"/>
      <c r="G79" s="137"/>
      <c r="H79" s="137"/>
      <c r="I79" s="137"/>
      <c r="J79" s="137"/>
    </row>
    <row r="80" spans="1:10" x14ac:dyDescent="0.2">
      <c r="A80" s="137"/>
      <c r="B80" s="137"/>
      <c r="C80" s="137"/>
      <c r="D80" s="137"/>
      <c r="E80" s="137"/>
      <c r="F80" s="137"/>
      <c r="G80" s="137"/>
      <c r="H80" s="137"/>
      <c r="I80" s="137"/>
      <c r="J80" s="137"/>
    </row>
    <row r="81" spans="1:10" x14ac:dyDescent="0.2">
      <c r="A81" s="137"/>
      <c r="B81" s="137"/>
      <c r="C81" s="137"/>
      <c r="D81" s="137"/>
      <c r="E81" s="137"/>
      <c r="F81" s="137"/>
      <c r="G81" s="137"/>
      <c r="H81" s="137"/>
      <c r="I81" s="137"/>
      <c r="J81" s="137"/>
    </row>
    <row r="82" spans="1:10" x14ac:dyDescent="0.2">
      <c r="A82" s="137"/>
      <c r="B82" s="137"/>
      <c r="C82" s="137"/>
      <c r="D82" s="137"/>
      <c r="E82" s="137"/>
      <c r="F82" s="137"/>
      <c r="G82" s="137"/>
      <c r="H82" s="137"/>
      <c r="I82" s="137"/>
      <c r="J82" s="137"/>
    </row>
    <row r="83" spans="1:10" x14ac:dyDescent="0.2">
      <c r="A83" s="137"/>
      <c r="B83" s="137"/>
      <c r="C83" s="137"/>
      <c r="D83" s="137"/>
      <c r="E83" s="137"/>
      <c r="F83" s="137"/>
      <c r="G83" s="137"/>
      <c r="H83" s="137"/>
      <c r="I83" s="137"/>
      <c r="J83" s="137"/>
    </row>
    <row r="84" spans="1:10" x14ac:dyDescent="0.2">
      <c r="A84" s="137"/>
      <c r="B84" s="137"/>
      <c r="C84" s="137"/>
      <c r="D84" s="137"/>
      <c r="E84" s="137"/>
      <c r="F84" s="137"/>
      <c r="G84" s="137"/>
      <c r="H84" s="137"/>
      <c r="I84" s="137"/>
      <c r="J84" s="137"/>
    </row>
    <row r="85" spans="1:10" x14ac:dyDescent="0.2">
      <c r="A85" s="137"/>
      <c r="B85" s="137"/>
      <c r="C85" s="137"/>
      <c r="D85" s="137"/>
      <c r="E85" s="137"/>
      <c r="F85" s="137"/>
      <c r="G85" s="137"/>
      <c r="H85" s="137"/>
      <c r="I85" s="137"/>
      <c r="J85" s="137"/>
    </row>
    <row r="86" spans="1:10" x14ac:dyDescent="0.2">
      <c r="A86" s="137"/>
      <c r="B86" s="137"/>
      <c r="C86" s="137"/>
      <c r="D86" s="137"/>
      <c r="E86" s="137"/>
      <c r="F86" s="137"/>
      <c r="G86" s="137"/>
      <c r="H86" s="137"/>
      <c r="I86" s="137"/>
      <c r="J86" s="137"/>
    </row>
    <row r="87" spans="1:10" x14ac:dyDescent="0.2">
      <c r="A87" s="137"/>
      <c r="B87" s="137"/>
      <c r="C87" s="137"/>
      <c r="D87" s="137"/>
      <c r="E87" s="137"/>
      <c r="F87" s="137"/>
      <c r="G87" s="137"/>
      <c r="H87" s="137"/>
      <c r="I87" s="137"/>
      <c r="J87" s="137"/>
    </row>
    <row r="88" spans="1:10" x14ac:dyDescent="0.2">
      <c r="A88" s="137"/>
      <c r="B88" s="137"/>
      <c r="C88" s="137"/>
      <c r="D88" s="137"/>
      <c r="E88" s="137"/>
      <c r="F88" s="137"/>
      <c r="G88" s="137"/>
      <c r="H88" s="137"/>
      <c r="I88" s="137"/>
      <c r="J88" s="137"/>
    </row>
    <row r="89" spans="1:10" x14ac:dyDescent="0.2">
      <c r="A89" s="137"/>
      <c r="B89" s="137"/>
      <c r="C89" s="137"/>
      <c r="D89" s="137"/>
      <c r="E89" s="137"/>
      <c r="F89" s="137"/>
      <c r="G89" s="137"/>
      <c r="H89" s="137"/>
      <c r="I89" s="137"/>
      <c r="J89" s="137"/>
    </row>
    <row r="90" spans="1:10" x14ac:dyDescent="0.2">
      <c r="A90" s="137"/>
      <c r="B90" s="137"/>
      <c r="C90" s="137"/>
      <c r="D90" s="137"/>
      <c r="E90" s="137"/>
      <c r="F90" s="137"/>
      <c r="G90" s="137"/>
      <c r="H90" s="137"/>
      <c r="I90" s="137"/>
      <c r="J90" s="137"/>
    </row>
    <row r="91" spans="1:10" x14ac:dyDescent="0.2">
      <c r="A91" s="137"/>
      <c r="B91" s="137"/>
      <c r="C91" s="137"/>
      <c r="D91" s="137"/>
      <c r="E91" s="137"/>
      <c r="F91" s="137"/>
      <c r="G91" s="137"/>
      <c r="H91" s="137"/>
      <c r="I91" s="137"/>
      <c r="J91" s="137"/>
    </row>
    <row r="92" spans="1:10" x14ac:dyDescent="0.2">
      <c r="A92" s="137"/>
      <c r="B92" s="137"/>
      <c r="C92" s="137"/>
      <c r="D92" s="137"/>
      <c r="E92" s="137"/>
      <c r="F92" s="137"/>
      <c r="G92" s="137"/>
      <c r="H92" s="137"/>
      <c r="I92" s="137"/>
      <c r="J92" s="137"/>
    </row>
    <row r="93" spans="1:10" x14ac:dyDescent="0.2">
      <c r="A93" s="137"/>
      <c r="B93" s="137"/>
      <c r="C93" s="137"/>
      <c r="D93" s="137"/>
      <c r="E93" s="137"/>
      <c r="F93" s="137"/>
      <c r="G93" s="137"/>
      <c r="H93" s="137"/>
      <c r="I93" s="137"/>
      <c r="J93" s="137"/>
    </row>
    <row r="94" spans="1:10" x14ac:dyDescent="0.2">
      <c r="A94" s="137"/>
      <c r="B94" s="137"/>
      <c r="C94" s="137"/>
      <c r="D94" s="137"/>
      <c r="E94" s="137"/>
      <c r="F94" s="137"/>
      <c r="G94" s="137"/>
      <c r="H94" s="137"/>
      <c r="I94" s="137"/>
      <c r="J94" s="137"/>
    </row>
    <row r="95" spans="1:10" x14ac:dyDescent="0.2">
      <c r="A95" s="137"/>
      <c r="B95" s="137"/>
      <c r="C95" s="137"/>
      <c r="D95" s="137"/>
      <c r="E95" s="137"/>
      <c r="F95" s="137"/>
      <c r="G95" s="137"/>
      <c r="H95" s="137"/>
      <c r="I95" s="137"/>
      <c r="J95" s="137"/>
    </row>
    <row r="96" spans="1:10" x14ac:dyDescent="0.2">
      <c r="A96" s="137"/>
      <c r="B96" s="137"/>
      <c r="C96" s="137"/>
      <c r="D96" s="137"/>
      <c r="E96" s="137"/>
      <c r="F96" s="137"/>
      <c r="G96" s="137"/>
      <c r="H96" s="137"/>
      <c r="I96" s="137"/>
      <c r="J96" s="137"/>
    </row>
    <row r="97" spans="1:10" x14ac:dyDescent="0.2">
      <c r="A97" s="137"/>
      <c r="B97" s="137"/>
      <c r="C97" s="137"/>
      <c r="D97" s="137"/>
      <c r="E97" s="137"/>
      <c r="F97" s="137"/>
      <c r="G97" s="137"/>
      <c r="H97" s="137"/>
      <c r="I97" s="137"/>
      <c r="J97" s="137"/>
    </row>
    <row r="98" spans="1:10" x14ac:dyDescent="0.2">
      <c r="A98" s="137"/>
      <c r="B98" s="137"/>
      <c r="C98" s="137"/>
      <c r="D98" s="137"/>
      <c r="E98" s="137"/>
      <c r="F98" s="137"/>
      <c r="G98" s="137"/>
      <c r="H98" s="137"/>
      <c r="I98" s="137"/>
      <c r="J98" s="137"/>
    </row>
    <row r="99" spans="1:10" x14ac:dyDescent="0.2">
      <c r="A99" s="137"/>
      <c r="B99" s="137"/>
      <c r="C99" s="137"/>
      <c r="D99" s="137"/>
      <c r="E99" s="137"/>
      <c r="F99" s="137"/>
      <c r="G99" s="137"/>
      <c r="H99" s="137"/>
      <c r="I99" s="137"/>
      <c r="J99" s="137"/>
    </row>
    <row r="100" spans="1:10" x14ac:dyDescent="0.2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</row>
    <row r="101" spans="1:10" x14ac:dyDescent="0.2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</row>
    <row r="102" spans="1:10" x14ac:dyDescent="0.2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</row>
    <row r="103" spans="1:10" x14ac:dyDescent="0.2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</row>
    <row r="104" spans="1:10" x14ac:dyDescent="0.2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</row>
    <row r="105" spans="1:10" x14ac:dyDescent="0.2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</row>
    <row r="106" spans="1:10" x14ac:dyDescent="0.2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</row>
    <row r="107" spans="1:10" x14ac:dyDescent="0.2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</row>
    <row r="108" spans="1:10" x14ac:dyDescent="0.2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</row>
    <row r="109" spans="1:10" x14ac:dyDescent="0.2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</row>
    <row r="110" spans="1:10" x14ac:dyDescent="0.2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</row>
    <row r="111" spans="1:10" x14ac:dyDescent="0.2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</row>
    <row r="112" spans="1:10" x14ac:dyDescent="0.2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</row>
    <row r="113" spans="1:10" x14ac:dyDescent="0.2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</row>
    <row r="114" spans="1:10" x14ac:dyDescent="0.2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</row>
  </sheetData>
  <phoneticPr fontId="2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orientation="landscape" horizontalDpi="200" verticalDpi="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3"/>
  <sheetViews>
    <sheetView workbookViewId="0">
      <selection activeCell="B4" sqref="B4"/>
    </sheetView>
  </sheetViews>
  <sheetFormatPr baseColWidth="10" defaultRowHeight="12.75" x14ac:dyDescent="0.2"/>
  <cols>
    <col min="1" max="1" width="31.85546875" style="159" customWidth="1"/>
    <col min="2" max="5" width="13.85546875" style="159" bestFit="1" customWidth="1"/>
    <col min="6" max="10" width="13.28515625" style="159" customWidth="1"/>
    <col min="11" max="16384" width="11.42578125" style="159"/>
  </cols>
  <sheetData>
    <row r="1" spans="1:10" x14ac:dyDescent="0.2">
      <c r="A1" s="158" t="s">
        <v>213</v>
      </c>
      <c r="B1" s="151">
        <v>2020</v>
      </c>
      <c r="C1" s="151">
        <f>B1+1</f>
        <v>2021</v>
      </c>
      <c r="D1" s="151">
        <f t="shared" ref="D1:J1" si="0">C1+1</f>
        <v>2022</v>
      </c>
      <c r="E1" s="151">
        <f t="shared" si="0"/>
        <v>2023</v>
      </c>
      <c r="F1" s="151">
        <f t="shared" si="0"/>
        <v>2024</v>
      </c>
      <c r="G1" s="151">
        <f t="shared" si="0"/>
        <v>2025</v>
      </c>
      <c r="H1" s="151">
        <f t="shared" si="0"/>
        <v>2026</v>
      </c>
      <c r="I1" s="151">
        <f t="shared" si="0"/>
        <v>2027</v>
      </c>
      <c r="J1" s="151">
        <f t="shared" si="0"/>
        <v>2028</v>
      </c>
    </row>
    <row r="2" spans="1:10" x14ac:dyDescent="0.2">
      <c r="B2" s="160"/>
      <c r="C2" s="160"/>
      <c r="D2" s="160"/>
      <c r="E2" s="160"/>
      <c r="F2" s="160"/>
      <c r="G2" s="160"/>
      <c r="H2" s="160"/>
      <c r="I2" s="160"/>
      <c r="J2" s="160"/>
    </row>
    <row r="3" spans="1:10" x14ac:dyDescent="0.2">
      <c r="A3" s="161" t="s">
        <v>214</v>
      </c>
      <c r="B3" s="160"/>
      <c r="C3" s="160"/>
      <c r="D3" s="160"/>
      <c r="E3" s="160"/>
      <c r="F3" s="160"/>
      <c r="G3" s="160"/>
      <c r="H3" s="160"/>
      <c r="I3" s="160"/>
      <c r="J3" s="160"/>
    </row>
    <row r="4" spans="1:10" x14ac:dyDescent="0.2">
      <c r="A4" s="162" t="s">
        <v>215</v>
      </c>
      <c r="B4" s="163">
        <f>Entradas!B5</f>
        <v>23100000</v>
      </c>
      <c r="C4" s="163">
        <f>Entradas!C5</f>
        <v>350519540</v>
      </c>
      <c r="D4" s="163">
        <f>Entradas!D5</f>
        <v>418777744</v>
      </c>
      <c r="E4" s="163">
        <f>Entradas!E5</f>
        <v>502350879.80000001</v>
      </c>
      <c r="F4" s="163">
        <f>Entradas!F5</f>
        <v>552871046.53550005</v>
      </c>
      <c r="G4" s="163"/>
      <c r="H4" s="163"/>
      <c r="I4" s="163"/>
      <c r="J4" s="163"/>
    </row>
    <row r="5" spans="1:10" x14ac:dyDescent="0.2">
      <c r="A5" s="162" t="s">
        <v>216</v>
      </c>
      <c r="B5" s="163">
        <f>Entradas!B10</f>
        <v>125889400</v>
      </c>
      <c r="C5" s="163">
        <f>Entradas!C10</f>
        <v>160700540</v>
      </c>
      <c r="D5" s="163">
        <f>Entradas!D10</f>
        <v>167899832.10000002</v>
      </c>
      <c r="E5" s="163">
        <f>Entradas!E10</f>
        <v>193609673.75750002</v>
      </c>
      <c r="F5" s="163">
        <f>Entradas!F10</f>
        <v>105023131.56335001</v>
      </c>
      <c r="G5" s="163"/>
      <c r="H5" s="163"/>
      <c r="I5" s="163"/>
      <c r="J5" s="163"/>
    </row>
    <row r="6" spans="1:10" x14ac:dyDescent="0.2">
      <c r="A6" s="162" t="s">
        <v>217</v>
      </c>
      <c r="B6" s="163"/>
      <c r="C6" s="163"/>
      <c r="D6" s="163"/>
      <c r="E6" s="163"/>
      <c r="F6" s="163"/>
      <c r="G6" s="163"/>
      <c r="H6" s="163"/>
      <c r="I6" s="163"/>
      <c r="J6" s="163"/>
    </row>
    <row r="7" spans="1:10" x14ac:dyDescent="0.2">
      <c r="A7" s="164"/>
      <c r="B7" s="160"/>
      <c r="C7" s="160"/>
      <c r="D7" s="160"/>
      <c r="E7" s="160"/>
      <c r="F7" s="160"/>
      <c r="G7" s="160"/>
      <c r="H7" s="160"/>
      <c r="I7" s="160"/>
      <c r="J7" s="160"/>
    </row>
    <row r="8" spans="1:10" ht="13.5" thickBot="1" x14ac:dyDescent="0.25">
      <c r="A8" s="165" t="s">
        <v>218</v>
      </c>
      <c r="B8" s="166">
        <f t="shared" ref="B8:J8" si="1">SUM(B4:B5)</f>
        <v>148989400</v>
      </c>
      <c r="C8" s="166">
        <f t="shared" si="1"/>
        <v>511220080</v>
      </c>
      <c r="D8" s="166">
        <f t="shared" si="1"/>
        <v>586677576.10000002</v>
      </c>
      <c r="E8" s="166">
        <f t="shared" si="1"/>
        <v>695960553.5575</v>
      </c>
      <c r="F8" s="166">
        <f t="shared" si="1"/>
        <v>657894178.09885001</v>
      </c>
      <c r="G8" s="166">
        <f t="shared" si="1"/>
        <v>0</v>
      </c>
      <c r="H8" s="166">
        <f t="shared" si="1"/>
        <v>0</v>
      </c>
      <c r="I8" s="166">
        <f t="shared" si="1"/>
        <v>0</v>
      </c>
      <c r="J8" s="166">
        <f t="shared" si="1"/>
        <v>0</v>
      </c>
    </row>
    <row r="9" spans="1:10" ht="13.5" thickTop="1" x14ac:dyDescent="0.2">
      <c r="A9" s="160"/>
      <c r="B9" s="160"/>
      <c r="C9" s="160"/>
      <c r="D9" s="160"/>
      <c r="E9" s="160"/>
      <c r="F9" s="160"/>
      <c r="G9" s="160"/>
      <c r="H9" s="160"/>
      <c r="I9" s="160"/>
      <c r="J9" s="160"/>
    </row>
    <row r="10" spans="1:10" x14ac:dyDescent="0.2">
      <c r="A10" s="161" t="s">
        <v>219</v>
      </c>
      <c r="B10" s="160"/>
      <c r="C10" s="160"/>
      <c r="D10" s="160"/>
      <c r="E10" s="160"/>
      <c r="F10" s="160"/>
      <c r="G10" s="160"/>
      <c r="H10" s="160"/>
      <c r="I10" s="160"/>
      <c r="J10" s="160"/>
    </row>
    <row r="11" spans="1:10" x14ac:dyDescent="0.2">
      <c r="A11" s="163" t="s">
        <v>220</v>
      </c>
      <c r="B11" s="163">
        <f>Entradas!B41</f>
        <v>18067500</v>
      </c>
      <c r="C11" s="163">
        <f>Entradas!C41</f>
        <v>274156354.49999994</v>
      </c>
      <c r="D11" s="163">
        <f>Entradas!D41</f>
        <v>327544021.19999999</v>
      </c>
      <c r="E11" s="163">
        <f>Entradas!E41</f>
        <v>392910152.41500002</v>
      </c>
      <c r="F11" s="163">
        <f>Entradas!F41</f>
        <v>432424139.96883756</v>
      </c>
      <c r="G11" s="163"/>
      <c r="H11" s="163"/>
      <c r="I11" s="163"/>
      <c r="J11" s="163"/>
    </row>
    <row r="12" spans="1:10" x14ac:dyDescent="0.2">
      <c r="A12" s="163" t="s">
        <v>221</v>
      </c>
      <c r="B12" s="163">
        <f>Entradas!B70</f>
        <v>96699660</v>
      </c>
      <c r="C12" s="163">
        <f>Entradas!C70</f>
        <v>107338440</v>
      </c>
      <c r="D12" s="163">
        <f>Entradas!D70</f>
        <v>101951946</v>
      </c>
      <c r="E12" s="163">
        <f>Entradas!E70</f>
        <v>109361346</v>
      </c>
      <c r="F12" s="163">
        <f>Entradas!F70</f>
        <v>55441884</v>
      </c>
      <c r="G12" s="163"/>
      <c r="H12" s="163"/>
      <c r="I12" s="163"/>
      <c r="J12" s="163"/>
    </row>
    <row r="13" spans="1:10" x14ac:dyDescent="0.2">
      <c r="A13" s="163" t="s">
        <v>222</v>
      </c>
      <c r="B13" s="163"/>
      <c r="C13" s="163"/>
      <c r="D13" s="163"/>
      <c r="E13" s="163"/>
      <c r="F13" s="163"/>
      <c r="G13" s="163"/>
      <c r="H13" s="163"/>
      <c r="I13" s="163"/>
      <c r="J13" s="163"/>
    </row>
    <row r="14" spans="1:10" x14ac:dyDescent="0.2">
      <c r="A14" s="163" t="s">
        <v>223</v>
      </c>
      <c r="B14" s="163">
        <f>Premisas!B22*B4</f>
        <v>3465000</v>
      </c>
      <c r="C14" s="163">
        <f>Premisas!C22*C4</f>
        <v>52577931</v>
      </c>
      <c r="D14" s="163">
        <f>Premisas!D22*D4</f>
        <v>62816661.599999994</v>
      </c>
      <c r="E14" s="163">
        <f>Premisas!E22*E4</f>
        <v>75352631.969999999</v>
      </c>
      <c r="F14" s="163">
        <f>Premisas!F22*F4</f>
        <v>82930656.980324998</v>
      </c>
      <c r="G14" s="163"/>
      <c r="H14" s="163"/>
      <c r="I14" s="163"/>
      <c r="J14" s="163"/>
    </row>
    <row r="15" spans="1:10" x14ac:dyDescent="0.2">
      <c r="A15" s="163" t="s">
        <v>224</v>
      </c>
      <c r="B15" s="163">
        <f>Premisas!B22*B5</f>
        <v>18883410</v>
      </c>
      <c r="C15" s="163">
        <f>Premisas!C22*C5</f>
        <v>24105081</v>
      </c>
      <c r="D15" s="163">
        <f>Premisas!D22*D5</f>
        <v>25184974.815000001</v>
      </c>
      <c r="E15" s="163">
        <f>Premisas!E22*E5</f>
        <v>29041451.063625004</v>
      </c>
      <c r="F15" s="163">
        <f>Premisas!F22*F5</f>
        <v>15753469.7345025</v>
      </c>
      <c r="G15" s="163"/>
      <c r="H15" s="163"/>
      <c r="I15" s="163"/>
      <c r="J15" s="163"/>
    </row>
    <row r="16" spans="1:10" x14ac:dyDescent="0.2">
      <c r="A16" s="163" t="s">
        <v>225</v>
      </c>
      <c r="B16" s="163">
        <f>Premisas!B23*B6</f>
        <v>0</v>
      </c>
      <c r="C16" s="163">
        <f>Premisas!C23*C6</f>
        <v>0</v>
      </c>
      <c r="D16" s="163">
        <f>Premisas!D23*D6</f>
        <v>0</v>
      </c>
      <c r="E16" s="163">
        <f>Premisas!E23*E6</f>
        <v>0</v>
      </c>
      <c r="F16" s="163">
        <f>Premisas!F23*F6</f>
        <v>0</v>
      </c>
      <c r="G16" s="163"/>
      <c r="H16" s="163"/>
      <c r="I16" s="163"/>
      <c r="J16" s="163"/>
    </row>
    <row r="17" spans="1:10" x14ac:dyDescent="0.2">
      <c r="A17" s="167" t="s">
        <v>226</v>
      </c>
      <c r="B17" s="167">
        <f>Premisas!B23*B4</f>
        <v>2772000</v>
      </c>
      <c r="C17" s="167">
        <f>Premisas!C23*C4</f>
        <v>42062344.799999997</v>
      </c>
      <c r="D17" s="167">
        <f>Premisas!D23*D4</f>
        <v>50253329.280000001</v>
      </c>
      <c r="E17" s="167">
        <f>Premisas!E23*E4</f>
        <v>60282105.575999998</v>
      </c>
      <c r="F17" s="167">
        <f>Premisas!F23*F4</f>
        <v>66344525.584260002</v>
      </c>
      <c r="G17" s="167"/>
      <c r="H17" s="167"/>
      <c r="I17" s="167"/>
      <c r="J17" s="167"/>
    </row>
    <row r="18" spans="1:10" x14ac:dyDescent="0.2">
      <c r="A18" s="167" t="s">
        <v>227</v>
      </c>
      <c r="B18" s="167">
        <f>Premisas!B23*B5</f>
        <v>15106728</v>
      </c>
      <c r="C18" s="167">
        <f>Premisas!C23*C5</f>
        <v>19284064.800000001</v>
      </c>
      <c r="D18" s="167">
        <f>Premisas!D23*D5</f>
        <v>20147979.852000002</v>
      </c>
      <c r="E18" s="167">
        <f>Premisas!E23*E5</f>
        <v>23233160.850900002</v>
      </c>
      <c r="F18" s="167">
        <f>Premisas!F23*F5</f>
        <v>12602775.787602</v>
      </c>
      <c r="G18" s="167"/>
      <c r="H18" s="167"/>
      <c r="I18" s="167"/>
      <c r="J18" s="167"/>
    </row>
    <row r="19" spans="1:10" x14ac:dyDescent="0.2">
      <c r="A19" s="167" t="s">
        <v>228</v>
      </c>
      <c r="B19" s="167">
        <f>Premisas!B23*B6</f>
        <v>0</v>
      </c>
      <c r="C19" s="167">
        <f>Premisas!C23*C6</f>
        <v>0</v>
      </c>
      <c r="D19" s="167">
        <f>Premisas!D23*D6</f>
        <v>0</v>
      </c>
      <c r="E19" s="167">
        <f>Premisas!E23*E6</f>
        <v>0</v>
      </c>
      <c r="F19" s="167">
        <f>Premisas!F23*F6</f>
        <v>0</v>
      </c>
      <c r="G19" s="167"/>
      <c r="H19" s="167"/>
      <c r="I19" s="167"/>
      <c r="J19" s="167"/>
    </row>
    <row r="20" spans="1:10" x14ac:dyDescent="0.2">
      <c r="A20" s="160"/>
      <c r="B20" s="160"/>
      <c r="C20" s="160"/>
      <c r="D20" s="160"/>
      <c r="E20" s="160"/>
      <c r="F20" s="160"/>
      <c r="G20" s="160"/>
      <c r="H20" s="160"/>
      <c r="I20" s="160"/>
      <c r="J20" s="160"/>
    </row>
    <row r="21" spans="1:10" ht="13.5" thickBot="1" x14ac:dyDescent="0.25">
      <c r="A21" s="166" t="s">
        <v>229</v>
      </c>
      <c r="B21" s="166">
        <f t="shared" ref="B21:J21" si="2">SUM(B11:B19)</f>
        <v>154994298</v>
      </c>
      <c r="C21" s="166">
        <f t="shared" si="2"/>
        <v>519524216.09999996</v>
      </c>
      <c r="D21" s="166">
        <f t="shared" si="2"/>
        <v>587898912.74699998</v>
      </c>
      <c r="E21" s="166">
        <f t="shared" si="2"/>
        <v>690180847.875525</v>
      </c>
      <c r="F21" s="166">
        <f t="shared" si="2"/>
        <v>665497452.05552709</v>
      </c>
      <c r="G21" s="166">
        <f t="shared" si="2"/>
        <v>0</v>
      </c>
      <c r="H21" s="166">
        <f t="shared" si="2"/>
        <v>0</v>
      </c>
      <c r="I21" s="166">
        <f t="shared" si="2"/>
        <v>0</v>
      </c>
      <c r="J21" s="166">
        <f t="shared" si="2"/>
        <v>0</v>
      </c>
    </row>
    <row r="22" spans="1:10" ht="13.5" thickTop="1" x14ac:dyDescent="0.2">
      <c r="A22" s="160"/>
      <c r="B22" s="160"/>
      <c r="C22" s="160"/>
      <c r="D22" s="160"/>
      <c r="E22" s="160"/>
      <c r="F22" s="160"/>
      <c r="G22" s="160"/>
      <c r="H22" s="160"/>
      <c r="I22" s="160"/>
      <c r="J22" s="160"/>
    </row>
    <row r="23" spans="1:10" x14ac:dyDescent="0.2">
      <c r="A23" s="160" t="s">
        <v>230</v>
      </c>
      <c r="B23" s="160">
        <f t="shared" ref="B23:J23" si="3">B8-B21</f>
        <v>-6004898</v>
      </c>
      <c r="C23" s="160">
        <f t="shared" si="3"/>
        <v>-8304136.0999999642</v>
      </c>
      <c r="D23" s="160">
        <f t="shared" si="3"/>
        <v>-1221336.6469999552</v>
      </c>
      <c r="E23" s="160">
        <f t="shared" si="3"/>
        <v>5779705.6819750071</v>
      </c>
      <c r="F23" s="160">
        <f t="shared" si="3"/>
        <v>-7603273.9566770792</v>
      </c>
      <c r="G23" s="160">
        <f t="shared" si="3"/>
        <v>0</v>
      </c>
      <c r="H23" s="160">
        <f t="shared" si="3"/>
        <v>0</v>
      </c>
      <c r="I23" s="160">
        <f t="shared" si="3"/>
        <v>0</v>
      </c>
      <c r="J23" s="160">
        <f t="shared" si="3"/>
        <v>0</v>
      </c>
    </row>
    <row r="24" spans="1:10" x14ac:dyDescent="0.2">
      <c r="A24" s="160"/>
      <c r="B24" s="160"/>
      <c r="C24" s="160"/>
      <c r="D24" s="160"/>
      <c r="E24" s="160"/>
      <c r="F24" s="160"/>
      <c r="G24" s="160"/>
      <c r="H24" s="160"/>
      <c r="I24" s="160"/>
      <c r="J24" s="160"/>
    </row>
    <row r="25" spans="1:10" x14ac:dyDescent="0.2">
      <c r="A25" s="167" t="s">
        <v>231</v>
      </c>
      <c r="B25" s="167">
        <f>SUM(B26:B32)</f>
        <v>9941895.75</v>
      </c>
      <c r="C25" s="167">
        <f t="shared" ref="C25:J25" si="4">SUM(C26:C32)</f>
        <v>33486889.949999996</v>
      </c>
      <c r="D25" s="167">
        <f t="shared" si="4"/>
        <v>38391627.196500003</v>
      </c>
      <c r="E25" s="167">
        <f t="shared" si="4"/>
        <v>45495020.731237501</v>
      </c>
      <c r="F25" s="167">
        <f t="shared" si="4"/>
        <v>43020706.326425247</v>
      </c>
      <c r="G25" s="167">
        <f t="shared" si="4"/>
        <v>257584.75</v>
      </c>
      <c r="H25" s="167">
        <f t="shared" si="4"/>
        <v>257584.75</v>
      </c>
      <c r="I25" s="167">
        <f t="shared" si="4"/>
        <v>257584.75</v>
      </c>
      <c r="J25" s="167">
        <f t="shared" si="4"/>
        <v>257584.75</v>
      </c>
    </row>
    <row r="26" spans="1:10" x14ac:dyDescent="0.2">
      <c r="A26" s="167" t="s">
        <v>232</v>
      </c>
      <c r="B26" s="167">
        <f>Premisas!B25*'Edo-Re'!B8</f>
        <v>8939364</v>
      </c>
      <c r="C26" s="167">
        <f>Premisas!C25*'Edo-Re'!C8</f>
        <v>30673204.799999997</v>
      </c>
      <c r="D26" s="167">
        <f>Premisas!D25*'Edo-Re'!D8</f>
        <v>35200654.566</v>
      </c>
      <c r="E26" s="167">
        <f>Premisas!E25*'Edo-Re'!E8</f>
        <v>41757633.21345</v>
      </c>
      <c r="F26" s="167">
        <f>Premisas!F25*'Edo-Re'!F8</f>
        <v>39473650.685930997</v>
      </c>
      <c r="G26" s="167">
        <f>Premisas!G25*'Edo-Re'!G8</f>
        <v>0</v>
      </c>
      <c r="H26" s="167">
        <f>Premisas!H25*'Edo-Re'!H8</f>
        <v>0</v>
      </c>
      <c r="I26" s="167">
        <f>Premisas!I25*'Edo-Re'!I8</f>
        <v>0</v>
      </c>
      <c r="J26" s="167">
        <f>Premisas!J25*'Edo-Re'!J8</f>
        <v>0</v>
      </c>
    </row>
    <row r="27" spans="1:10" x14ac:dyDescent="0.2">
      <c r="A27" s="160" t="s">
        <v>233</v>
      </c>
      <c r="B27" s="160">
        <f>Depreciación.!C67</f>
        <v>21650</v>
      </c>
      <c r="C27" s="160">
        <f>Depreciación.!D67</f>
        <v>21650</v>
      </c>
      <c r="D27" s="160">
        <f>Depreciación.!E67</f>
        <v>21650</v>
      </c>
      <c r="E27" s="160">
        <f>Depreciación.!F67</f>
        <v>21650</v>
      </c>
      <c r="F27" s="160">
        <f>Depreciación.!G67</f>
        <v>21650</v>
      </c>
      <c r="G27" s="160">
        <f>Depreciación.!H67</f>
        <v>21650</v>
      </c>
      <c r="H27" s="160">
        <f>Depreciación.!I67</f>
        <v>21650</v>
      </c>
      <c r="I27" s="160">
        <f>Depreciación.!J67</f>
        <v>21650</v>
      </c>
      <c r="J27" s="160">
        <f>Depreciación.!K67</f>
        <v>21650</v>
      </c>
    </row>
    <row r="28" spans="1:10" x14ac:dyDescent="0.2">
      <c r="A28" s="160" t="s">
        <v>234</v>
      </c>
      <c r="B28" s="160">
        <f>Depreciación.!C49</f>
        <v>177800</v>
      </c>
      <c r="C28" s="160">
        <f>Depreciación.!D49</f>
        <v>177800</v>
      </c>
      <c r="D28" s="160">
        <f>Depreciación.!E49</f>
        <v>177800</v>
      </c>
      <c r="E28" s="160">
        <f>Depreciación.!F49</f>
        <v>177800</v>
      </c>
      <c r="F28" s="160">
        <f>Depreciación.!G49</f>
        <v>177800</v>
      </c>
      <c r="G28" s="160">
        <f>Depreciación.!H49</f>
        <v>177800</v>
      </c>
      <c r="H28" s="160">
        <f>Depreciación.!I49</f>
        <v>177800</v>
      </c>
      <c r="I28" s="160">
        <f>Depreciación.!J49</f>
        <v>177800</v>
      </c>
      <c r="J28" s="160">
        <f>Depreciación.!K49</f>
        <v>177800</v>
      </c>
    </row>
    <row r="29" spans="1:10" x14ac:dyDescent="0.2">
      <c r="A29" s="160" t="s">
        <v>235</v>
      </c>
      <c r="B29" s="160">
        <f>Depreciación.!C26</f>
        <v>52240</v>
      </c>
      <c r="C29" s="160">
        <f>Depreciación.!D26</f>
        <v>52240</v>
      </c>
      <c r="D29" s="160">
        <f>Depreciación.!E26</f>
        <v>52240</v>
      </c>
      <c r="E29" s="160">
        <f>Depreciación.!F26</f>
        <v>52240</v>
      </c>
      <c r="F29" s="160">
        <f>Depreciación.!G26</f>
        <v>52240</v>
      </c>
      <c r="G29" s="160">
        <f>Depreciación.!H26</f>
        <v>52240</v>
      </c>
      <c r="H29" s="160">
        <f>Depreciación.!I26</f>
        <v>52240</v>
      </c>
      <c r="I29" s="160">
        <f>Depreciación.!J26</f>
        <v>52240</v>
      </c>
      <c r="J29" s="160">
        <f>Depreciación.!K26</f>
        <v>52240</v>
      </c>
    </row>
    <row r="30" spans="1:10" x14ac:dyDescent="0.2">
      <c r="A30" s="160" t="s">
        <v>236</v>
      </c>
      <c r="B30" s="160">
        <f>Depreciación.!C87</f>
        <v>5894.75</v>
      </c>
      <c r="C30" s="160">
        <f>Depreciación.!D87</f>
        <v>5894.75</v>
      </c>
      <c r="D30" s="160">
        <f>Depreciación.!E87</f>
        <v>5894.75</v>
      </c>
      <c r="E30" s="160">
        <f>Depreciación.!F87</f>
        <v>5894.75</v>
      </c>
      <c r="F30" s="160">
        <f>Depreciación.!G87</f>
        <v>5894.75</v>
      </c>
      <c r="G30" s="160">
        <f>Depreciación.!H87</f>
        <v>5894.75</v>
      </c>
      <c r="H30" s="160">
        <f>Depreciación.!I87</f>
        <v>5894.75</v>
      </c>
      <c r="I30" s="160">
        <f>Depreciación.!J87</f>
        <v>5894.75</v>
      </c>
      <c r="J30" s="160">
        <f>Depreciación.!K87</f>
        <v>5894.75</v>
      </c>
    </row>
    <row r="31" spans="1:10" x14ac:dyDescent="0.2">
      <c r="A31" s="160" t="s">
        <v>237</v>
      </c>
      <c r="B31" s="160"/>
      <c r="C31" s="160"/>
      <c r="D31" s="160"/>
      <c r="E31" s="160"/>
      <c r="F31" s="160"/>
      <c r="G31" s="160"/>
      <c r="H31" s="160"/>
      <c r="I31" s="160"/>
      <c r="J31" s="160"/>
    </row>
    <row r="32" spans="1:10" x14ac:dyDescent="0.2">
      <c r="A32" s="168" t="s">
        <v>238</v>
      </c>
      <c r="B32" s="168">
        <f>Premisas!B24*B8</f>
        <v>744947</v>
      </c>
      <c r="C32" s="168">
        <f>Premisas!C24*C8</f>
        <v>2556100.4</v>
      </c>
      <c r="D32" s="168">
        <f>Premisas!D24*D8</f>
        <v>2933387.8805</v>
      </c>
      <c r="E32" s="168">
        <f>Premisas!E24*E8</f>
        <v>3479802.7677875003</v>
      </c>
      <c r="F32" s="168">
        <f>Premisas!F24*F8</f>
        <v>3289470.8904942502</v>
      </c>
      <c r="G32" s="168">
        <f>Premisas!G24*G8</f>
        <v>0</v>
      </c>
      <c r="H32" s="168">
        <f>Premisas!H24*H8</f>
        <v>0</v>
      </c>
      <c r="I32" s="168">
        <f>Premisas!I24*I8</f>
        <v>0</v>
      </c>
      <c r="J32" s="168">
        <f>Premisas!J24*J8</f>
        <v>0</v>
      </c>
    </row>
    <row r="33" spans="1:10" x14ac:dyDescent="0.2">
      <c r="A33" s="160"/>
      <c r="B33" s="160"/>
      <c r="C33" s="160"/>
      <c r="D33" s="160"/>
      <c r="E33" s="160"/>
      <c r="F33" s="160"/>
      <c r="G33" s="160"/>
      <c r="H33" s="160"/>
      <c r="I33" s="160"/>
      <c r="J33" s="160"/>
    </row>
    <row r="34" spans="1:10" ht="13.5" thickBot="1" x14ac:dyDescent="0.25">
      <c r="A34" s="169" t="s">
        <v>239</v>
      </c>
      <c r="B34" s="169">
        <f t="shared" ref="B34:J34" si="5">B23-B25</f>
        <v>-15946793.75</v>
      </c>
      <c r="C34" s="169">
        <f t="shared" si="5"/>
        <v>-41791026.04999996</v>
      </c>
      <c r="D34" s="169">
        <f t="shared" si="5"/>
        <v>-39612963.843499959</v>
      </c>
      <c r="E34" s="169">
        <f t="shared" si="5"/>
        <v>-39715315.049262494</v>
      </c>
      <c r="F34" s="169">
        <f t="shared" si="5"/>
        <v>-50623980.283102326</v>
      </c>
      <c r="G34" s="169">
        <f t="shared" si="5"/>
        <v>-257584.75</v>
      </c>
      <c r="H34" s="169">
        <f t="shared" si="5"/>
        <v>-257584.75</v>
      </c>
      <c r="I34" s="169">
        <f t="shared" si="5"/>
        <v>-257584.75</v>
      </c>
      <c r="J34" s="169">
        <f t="shared" si="5"/>
        <v>-257584.75</v>
      </c>
    </row>
    <row r="35" spans="1:10" x14ac:dyDescent="0.2">
      <c r="A35" s="160"/>
      <c r="B35" s="160"/>
      <c r="C35" s="160"/>
      <c r="D35" s="160"/>
      <c r="E35" s="160"/>
      <c r="F35" s="160"/>
      <c r="G35" s="160"/>
      <c r="H35" s="160"/>
      <c r="I35" s="160"/>
      <c r="J35" s="160"/>
    </row>
    <row r="36" spans="1:10" x14ac:dyDescent="0.2">
      <c r="A36" s="163" t="s">
        <v>240</v>
      </c>
      <c r="B36" s="163">
        <v>0</v>
      </c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</row>
    <row r="37" spans="1:10" x14ac:dyDescent="0.2">
      <c r="A37" s="163" t="s">
        <v>241</v>
      </c>
      <c r="B37" s="163">
        <v>0</v>
      </c>
      <c r="C37" s="163">
        <v>0</v>
      </c>
      <c r="D37" s="163">
        <v>0</v>
      </c>
      <c r="E37" s="163">
        <v>0</v>
      </c>
      <c r="F37" s="163">
        <v>0</v>
      </c>
      <c r="G37" s="163">
        <v>0</v>
      </c>
      <c r="H37" s="163">
        <v>0</v>
      </c>
      <c r="I37" s="163">
        <v>0</v>
      </c>
      <c r="J37" s="163">
        <v>0</v>
      </c>
    </row>
    <row r="38" spans="1:10" x14ac:dyDescent="0.2">
      <c r="A38" s="160"/>
      <c r="B38" s="160"/>
      <c r="C38" s="160"/>
      <c r="D38" s="160"/>
      <c r="E38" s="160"/>
      <c r="F38" s="160"/>
      <c r="G38" s="160"/>
      <c r="H38" s="160"/>
      <c r="I38" s="160"/>
      <c r="J38" s="160"/>
    </row>
    <row r="39" spans="1:10" ht="13.5" thickBot="1" x14ac:dyDescent="0.25">
      <c r="A39" s="169" t="s">
        <v>242</v>
      </c>
      <c r="B39" s="169">
        <f>B34-B36+B37</f>
        <v>-15946793.75</v>
      </c>
      <c r="C39" s="169">
        <f t="shared" ref="C39:J39" si="6">C34-C36+C37</f>
        <v>-41791026.04999996</v>
      </c>
      <c r="D39" s="169">
        <f t="shared" si="6"/>
        <v>-39612963.843499959</v>
      </c>
      <c r="E39" s="169">
        <f t="shared" si="6"/>
        <v>-39715315.049262494</v>
      </c>
      <c r="F39" s="169">
        <f t="shared" si="6"/>
        <v>-50623980.283102326</v>
      </c>
      <c r="G39" s="169">
        <f t="shared" si="6"/>
        <v>-257584.75</v>
      </c>
      <c r="H39" s="169">
        <f t="shared" si="6"/>
        <v>-257584.75</v>
      </c>
      <c r="I39" s="169">
        <f t="shared" si="6"/>
        <v>-257584.75</v>
      </c>
      <c r="J39" s="169">
        <f t="shared" si="6"/>
        <v>-257584.75</v>
      </c>
    </row>
    <row r="40" spans="1:10" x14ac:dyDescent="0.2">
      <c r="A40" s="160"/>
      <c r="B40" s="160"/>
      <c r="C40" s="160"/>
      <c r="D40" s="160"/>
      <c r="E40" s="160"/>
      <c r="F40" s="160"/>
      <c r="G40" s="160"/>
      <c r="H40" s="160"/>
      <c r="I40" s="160"/>
      <c r="J40" s="160"/>
    </row>
    <row r="41" spans="1:10" x14ac:dyDescent="0.2">
      <c r="A41" s="160" t="s">
        <v>243</v>
      </c>
      <c r="B41" s="160">
        <f>IF(B39&lt;0,0,B39*(Premisas!B12+Premisas!B14))</f>
        <v>0</v>
      </c>
      <c r="C41" s="160">
        <f>IF(C39&lt;0,0,C39*(Premisas!C12+Premisas!C14))</f>
        <v>0</v>
      </c>
      <c r="D41" s="160">
        <f>IF(D39&lt;0,0,D39*(Premisas!D12+Premisas!D14))</f>
        <v>0</v>
      </c>
      <c r="E41" s="160">
        <f>IF(E39&lt;0,0,E39*(Premisas!E12+Premisas!E14))</f>
        <v>0</v>
      </c>
      <c r="F41" s="160">
        <f>IF(F39&lt;0,0,F39*(Premisas!F12+Premisas!F14))</f>
        <v>0</v>
      </c>
      <c r="G41" s="160">
        <f>IF(G39&lt;0,0,G39*(Premisas!G12+Premisas!G14))</f>
        <v>0</v>
      </c>
      <c r="H41" s="160">
        <f>IF(H39&lt;0,0,H39*(Premisas!H12+Premisas!H14))</f>
        <v>0</v>
      </c>
      <c r="I41" s="160">
        <f>IF(I39&lt;0,0,I39*(Premisas!I12+Premisas!I14))</f>
        <v>0</v>
      </c>
      <c r="J41" s="160">
        <f>IF(J39&lt;0,0,J39*(Premisas!J12+Premisas!J14))</f>
        <v>0</v>
      </c>
    </row>
    <row r="42" spans="1:10" x14ac:dyDescent="0.2">
      <c r="A42" s="160"/>
      <c r="B42" s="160"/>
      <c r="C42" s="160"/>
      <c r="D42" s="160"/>
      <c r="E42" s="160"/>
      <c r="F42" s="160"/>
      <c r="G42" s="160"/>
      <c r="H42" s="160"/>
      <c r="I42" s="160"/>
      <c r="J42" s="160"/>
    </row>
    <row r="43" spans="1:10" ht="13.5" thickBot="1" x14ac:dyDescent="0.25">
      <c r="A43" s="169" t="s">
        <v>209</v>
      </c>
      <c r="B43" s="169">
        <f t="shared" ref="B43:J43" si="7">B39-B41</f>
        <v>-15946793.75</v>
      </c>
      <c r="C43" s="169">
        <f t="shared" si="7"/>
        <v>-41791026.04999996</v>
      </c>
      <c r="D43" s="169">
        <f t="shared" si="7"/>
        <v>-39612963.843499959</v>
      </c>
      <c r="E43" s="169">
        <f t="shared" si="7"/>
        <v>-39715315.049262494</v>
      </c>
      <c r="F43" s="169">
        <f t="shared" si="7"/>
        <v>-50623980.283102326</v>
      </c>
      <c r="G43" s="169">
        <f t="shared" si="7"/>
        <v>-257584.75</v>
      </c>
      <c r="H43" s="169">
        <f t="shared" si="7"/>
        <v>-257584.75</v>
      </c>
      <c r="I43" s="169">
        <f t="shared" si="7"/>
        <v>-257584.75</v>
      </c>
      <c r="J43" s="169">
        <f t="shared" si="7"/>
        <v>-257584.75</v>
      </c>
    </row>
  </sheetData>
  <phoneticPr fontId="2" type="noConversion"/>
  <printOptions gridLines="1" gridLinesSet="0"/>
  <pageMargins left="0.75" right="0.75" top="1" bottom="1" header="0.511811024" footer="0.511811024"/>
  <pageSetup paperSize="9" orientation="portrait" horizontalDpi="300" verticalDpi="300" r:id="rId1"/>
  <headerFooter alignWithMargins="0">
    <oddHeader>&amp;A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grafica</vt:lpstr>
      <vt:lpstr>Premisas</vt:lpstr>
      <vt:lpstr>volumenes</vt:lpstr>
      <vt:lpstr>Entradas</vt:lpstr>
      <vt:lpstr>capacidad</vt:lpstr>
      <vt:lpstr>Depreciación.</vt:lpstr>
      <vt:lpstr>Financiamiento</vt:lpstr>
      <vt:lpstr>Balance</vt:lpstr>
      <vt:lpstr>Edo-Re</vt:lpstr>
      <vt:lpstr>Flujo</vt:lpstr>
      <vt:lpstr>Razones</vt:lpstr>
      <vt:lpstr>capacidad!Área_de_impresión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MF</dc:title>
  <dc:subject>ESTADO FINANCIERO</dc:subject>
  <dc:creator>Carlos Alberto Glez Almaguer</dc:creator>
  <cp:keywords>EDOFIN</cp:keywords>
  <dc:description>ESTADO FINANCIERO PARA JUSTIFICACION DE PROYECTOS DE INVERSION.</dc:description>
  <cp:lastModifiedBy>HP</cp:lastModifiedBy>
  <dcterms:created xsi:type="dcterms:W3CDTF">2007-01-11T01:22:19Z</dcterms:created>
  <dcterms:modified xsi:type="dcterms:W3CDTF">2020-09-06T22:58:56Z</dcterms:modified>
</cp:coreProperties>
</file>