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8_{F0022AEA-1FFA-45B5-A8E5-98303CC6B059}" xr6:coauthVersionLast="45" xr6:coauthVersionMax="45" xr10:uidLastSave="{00000000-0000-0000-0000-000000000000}"/>
  <bookViews>
    <workbookView xWindow="-120" yWindow="-120" windowWidth="20730" windowHeight="11160" tabRatio="801" activeTab="2"/>
  </bookViews>
  <sheets>
    <sheet name="BOM - VAdded" sheetId="1" r:id="rId1"/>
    <sheet name="Comparison" sheetId="2" r:id="rId2"/>
    <sheet name="Top Level" sheetId="3" r:id="rId3"/>
    <sheet name="PCA" sheetId="4" r:id="rId4"/>
    <sheet name="Cost Project" sheetId="5" r:id="rId5"/>
  </sheets>
  <definedNames>
    <definedName name="_xlnm.Print_Area" localSheetId="0">'BOM - VAdded'!#REF!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2" i="3" l="1"/>
  <c r="J60" i="3"/>
  <c r="J7" i="3"/>
  <c r="I7" i="1"/>
  <c r="J7" i="1" s="1"/>
  <c r="AA7" i="1" s="1"/>
  <c r="M7" i="1"/>
  <c r="K7" i="1" s="1"/>
  <c r="L7" i="1" s="1"/>
  <c r="AB7" i="1" s="1"/>
  <c r="P7" i="1"/>
  <c r="W7" i="1"/>
  <c r="Y7" i="1"/>
  <c r="I8" i="1"/>
  <c r="J8" i="1"/>
  <c r="M8" i="1"/>
  <c r="K8" i="1" s="1"/>
  <c r="L8" i="1" s="1"/>
  <c r="AB8" i="1" s="1"/>
  <c r="N8" i="1"/>
  <c r="P8" i="1"/>
  <c r="W8" i="1"/>
  <c r="Y8" i="1"/>
  <c r="AA8" i="1"/>
  <c r="I9" i="1"/>
  <c r="J9" i="1"/>
  <c r="K9" i="1"/>
  <c r="L9" i="1" s="1"/>
  <c r="AB9" i="1" s="1"/>
  <c r="M9" i="1"/>
  <c r="N9" i="1"/>
  <c r="P9" i="1"/>
  <c r="W9" i="1"/>
  <c r="Y9" i="1"/>
  <c r="AA9" i="1"/>
  <c r="I10" i="1"/>
  <c r="J10" i="1"/>
  <c r="K10" i="1"/>
  <c r="L10" i="1"/>
  <c r="AB10" i="1" s="1"/>
  <c r="M10" i="1"/>
  <c r="N10" i="1"/>
  <c r="P10" i="1"/>
  <c r="W10" i="1"/>
  <c r="AA10" i="1" s="1"/>
  <c r="Y10" i="1"/>
  <c r="I11" i="1"/>
  <c r="J11" i="1" s="1"/>
  <c r="AA11" i="1" s="1"/>
  <c r="M11" i="1"/>
  <c r="K11" i="1" s="1"/>
  <c r="L11" i="1" s="1"/>
  <c r="AB11" i="1" s="1"/>
  <c r="P11" i="1"/>
  <c r="W11" i="1"/>
  <c r="Y11" i="1"/>
  <c r="I12" i="1"/>
  <c r="J12" i="1"/>
  <c r="M12" i="1"/>
  <c r="K12" i="1" s="1"/>
  <c r="L12" i="1" s="1"/>
  <c r="AB12" i="1" s="1"/>
  <c r="N12" i="1"/>
  <c r="P12" i="1"/>
  <c r="W12" i="1"/>
  <c r="Y12" i="1"/>
  <c r="AA12" i="1"/>
  <c r="I13" i="1"/>
  <c r="J13" i="1"/>
  <c r="K13" i="1"/>
  <c r="L13" i="1" s="1"/>
  <c r="AB13" i="1" s="1"/>
  <c r="M13" i="1"/>
  <c r="N13" i="1"/>
  <c r="P13" i="1"/>
  <c r="W13" i="1"/>
  <c r="Y13" i="1"/>
  <c r="AA13" i="1"/>
  <c r="K14" i="1"/>
  <c r="I15" i="1"/>
  <c r="J15" i="1" s="1"/>
  <c r="K15" i="1"/>
  <c r="L15" i="1" s="1"/>
  <c r="M15" i="1"/>
  <c r="N15" i="1" s="1"/>
  <c r="P15" i="1"/>
  <c r="P14" i="1" s="1"/>
  <c r="W15" i="1"/>
  <c r="Y15" i="1"/>
  <c r="Y14" i="1" s="1"/>
  <c r="I16" i="1"/>
  <c r="J16" i="1"/>
  <c r="M16" i="1"/>
  <c r="K16" i="1" s="1"/>
  <c r="L16" i="1" s="1"/>
  <c r="AB16" i="1" s="1"/>
  <c r="N16" i="1"/>
  <c r="P16" i="1"/>
  <c r="W16" i="1"/>
  <c r="W14" i="1" s="1"/>
  <c r="Y16" i="1"/>
  <c r="I17" i="1"/>
  <c r="J17" i="1" s="1"/>
  <c r="AA17" i="1" s="1"/>
  <c r="M17" i="1"/>
  <c r="N17" i="1" s="1"/>
  <c r="P17" i="1"/>
  <c r="W17" i="1"/>
  <c r="Y17" i="1"/>
  <c r="I18" i="1"/>
  <c r="J18" i="1"/>
  <c r="M18" i="1"/>
  <c r="K18" i="1" s="1"/>
  <c r="L18" i="1" s="1"/>
  <c r="AB18" i="1" s="1"/>
  <c r="N18" i="1"/>
  <c r="P18" i="1"/>
  <c r="W18" i="1"/>
  <c r="Y18" i="1"/>
  <c r="AA18" i="1"/>
  <c r="I19" i="1"/>
  <c r="J19" i="1" s="1"/>
  <c r="AA19" i="1" s="1"/>
  <c r="K19" i="1"/>
  <c r="L19" i="1" s="1"/>
  <c r="AB19" i="1" s="1"/>
  <c r="M19" i="1"/>
  <c r="N19" i="1" s="1"/>
  <c r="P19" i="1"/>
  <c r="W19" i="1"/>
  <c r="Y19" i="1"/>
  <c r="I20" i="1"/>
  <c r="J20" i="1"/>
  <c r="M20" i="1"/>
  <c r="K20" i="1" s="1"/>
  <c r="L20" i="1" s="1"/>
  <c r="AB20" i="1" s="1"/>
  <c r="N20" i="1"/>
  <c r="P20" i="1"/>
  <c r="W20" i="1"/>
  <c r="AA20" i="1" s="1"/>
  <c r="Y20" i="1"/>
  <c r="I21" i="1"/>
  <c r="J21" i="1" s="1"/>
  <c r="AA21" i="1" s="1"/>
  <c r="M21" i="1"/>
  <c r="N21" i="1" s="1"/>
  <c r="P21" i="1"/>
  <c r="W21" i="1"/>
  <c r="Y21" i="1"/>
  <c r="I22" i="1"/>
  <c r="J22" i="1"/>
  <c r="M22" i="1"/>
  <c r="K22" i="1" s="1"/>
  <c r="L22" i="1" s="1"/>
  <c r="AB22" i="1" s="1"/>
  <c r="N22" i="1"/>
  <c r="P22" i="1"/>
  <c r="W22" i="1"/>
  <c r="Y22" i="1"/>
  <c r="AA22" i="1"/>
  <c r="I24" i="1"/>
  <c r="J24" i="1"/>
  <c r="K24" i="1"/>
  <c r="L24" i="1" s="1"/>
  <c r="M24" i="1"/>
  <c r="N24" i="1"/>
  <c r="P24" i="1"/>
  <c r="P23" i="1" s="1"/>
  <c r="W24" i="1"/>
  <c r="Y24" i="1"/>
  <c r="AA24" i="1"/>
  <c r="AB24" i="1"/>
  <c r="I25" i="1"/>
  <c r="J25" i="1" s="1"/>
  <c r="M25" i="1"/>
  <c r="N25" i="1" s="1"/>
  <c r="P25" i="1"/>
  <c r="W25" i="1"/>
  <c r="W23" i="1" s="1"/>
  <c r="Y25" i="1"/>
  <c r="I26" i="1"/>
  <c r="J26" i="1" s="1"/>
  <c r="AA26" i="1" s="1"/>
  <c r="M26" i="1"/>
  <c r="P26" i="1"/>
  <c r="W26" i="1"/>
  <c r="Y26" i="1"/>
  <c r="I27" i="1"/>
  <c r="J27" i="1"/>
  <c r="M27" i="1"/>
  <c r="K27" i="1" s="1"/>
  <c r="L27" i="1" s="1"/>
  <c r="AB27" i="1" s="1"/>
  <c r="N27" i="1"/>
  <c r="P27" i="1"/>
  <c r="W27" i="1"/>
  <c r="Y27" i="1"/>
  <c r="AA27" i="1"/>
  <c r="I28" i="1"/>
  <c r="J28" i="1"/>
  <c r="K28" i="1"/>
  <c r="L28" i="1" s="1"/>
  <c r="M28" i="1"/>
  <c r="N28" i="1"/>
  <c r="P28" i="1"/>
  <c r="W28" i="1"/>
  <c r="Y28" i="1"/>
  <c r="AA28" i="1"/>
  <c r="AB28" i="1"/>
  <c r="J29" i="1"/>
  <c r="L29" i="1"/>
  <c r="N29" i="1"/>
  <c r="O29" i="1"/>
  <c r="W29" i="1"/>
  <c r="AA29" i="1" s="1"/>
  <c r="X29" i="1"/>
  <c r="Y29" i="1" s="1"/>
  <c r="I31" i="1"/>
  <c r="J31" i="1"/>
  <c r="M31" i="1"/>
  <c r="K31" i="1" s="1"/>
  <c r="L31" i="1" s="1"/>
  <c r="N31" i="1"/>
  <c r="P31" i="1"/>
  <c r="W31" i="1"/>
  <c r="Y31" i="1"/>
  <c r="I32" i="1"/>
  <c r="J32" i="1" s="1"/>
  <c r="AA32" i="1" s="1"/>
  <c r="K32" i="1"/>
  <c r="L32" i="1" s="1"/>
  <c r="AB32" i="1" s="1"/>
  <c r="M32" i="1"/>
  <c r="N32" i="1"/>
  <c r="P32" i="1"/>
  <c r="W32" i="1"/>
  <c r="Y32" i="1"/>
  <c r="I33" i="1"/>
  <c r="J33" i="1"/>
  <c r="K33" i="1"/>
  <c r="L33" i="1"/>
  <c r="M33" i="1"/>
  <c r="N33" i="1"/>
  <c r="P33" i="1"/>
  <c r="W33" i="1"/>
  <c r="AA33" i="1" s="1"/>
  <c r="Y33" i="1"/>
  <c r="I34" i="1"/>
  <c r="J34" i="1" s="1"/>
  <c r="AA34" i="1" s="1"/>
  <c r="M34" i="1"/>
  <c r="P34" i="1"/>
  <c r="W34" i="1"/>
  <c r="Y34" i="1"/>
  <c r="I35" i="1"/>
  <c r="J35" i="1"/>
  <c r="M35" i="1"/>
  <c r="K35" i="1" s="1"/>
  <c r="L35" i="1" s="1"/>
  <c r="AB35" i="1" s="1"/>
  <c r="N35" i="1"/>
  <c r="P35" i="1"/>
  <c r="W35" i="1"/>
  <c r="Y35" i="1"/>
  <c r="AA35" i="1"/>
  <c r="I36" i="1"/>
  <c r="J36" i="1" s="1"/>
  <c r="AA36" i="1" s="1"/>
  <c r="K36" i="1"/>
  <c r="L36" i="1" s="1"/>
  <c r="AB36" i="1" s="1"/>
  <c r="M36" i="1"/>
  <c r="N36" i="1" s="1"/>
  <c r="P36" i="1"/>
  <c r="W36" i="1"/>
  <c r="Y36" i="1"/>
  <c r="I37" i="1"/>
  <c r="J37" i="1"/>
  <c r="K37" i="1"/>
  <c r="L37" i="1"/>
  <c r="M37" i="1"/>
  <c r="N37" i="1"/>
  <c r="P37" i="1"/>
  <c r="W37" i="1"/>
  <c r="AA37" i="1" s="1"/>
  <c r="Y37" i="1"/>
  <c r="I38" i="1"/>
  <c r="J38" i="1" s="1"/>
  <c r="AA38" i="1" s="1"/>
  <c r="M38" i="1"/>
  <c r="P38" i="1"/>
  <c r="W38" i="1"/>
  <c r="Y38" i="1"/>
  <c r="AA39" i="1"/>
  <c r="AB39" i="1"/>
  <c r="I40" i="1"/>
  <c r="J40" i="1"/>
  <c r="K40" i="1"/>
  <c r="L40" i="1"/>
  <c r="M40" i="1"/>
  <c r="N40" i="1"/>
  <c r="P40" i="1"/>
  <c r="W40" i="1"/>
  <c r="AA40" i="1" s="1"/>
  <c r="Y40" i="1"/>
  <c r="I41" i="1"/>
  <c r="J41" i="1" s="1"/>
  <c r="AA41" i="1" s="1"/>
  <c r="M41" i="1"/>
  <c r="P41" i="1"/>
  <c r="W41" i="1"/>
  <c r="Y41" i="1"/>
  <c r="I42" i="1"/>
  <c r="J42" i="1"/>
  <c r="M42" i="1"/>
  <c r="K42" i="1" s="1"/>
  <c r="L42" i="1" s="1"/>
  <c r="AB42" i="1" s="1"/>
  <c r="N42" i="1"/>
  <c r="P42" i="1"/>
  <c r="W42" i="1"/>
  <c r="Y42" i="1"/>
  <c r="AA42" i="1"/>
  <c r="I43" i="1"/>
  <c r="J43" i="1"/>
  <c r="K43" i="1"/>
  <c r="L43" i="1" s="1"/>
  <c r="AB43" i="1" s="1"/>
  <c r="M43" i="1"/>
  <c r="N43" i="1"/>
  <c r="P43" i="1"/>
  <c r="W43" i="1"/>
  <c r="Y43" i="1"/>
  <c r="AA43" i="1"/>
  <c r="I44" i="1"/>
  <c r="J44" i="1"/>
  <c r="K44" i="1"/>
  <c r="L44" i="1"/>
  <c r="M44" i="1"/>
  <c r="N44" i="1"/>
  <c r="P44" i="1"/>
  <c r="W44" i="1"/>
  <c r="AA44" i="1" s="1"/>
  <c r="Y44" i="1"/>
  <c r="I45" i="1"/>
  <c r="J45" i="1" s="1"/>
  <c r="AA45" i="1" s="1"/>
  <c r="M45" i="1"/>
  <c r="P45" i="1"/>
  <c r="W45" i="1"/>
  <c r="Y45" i="1"/>
  <c r="I46" i="1"/>
  <c r="J46" i="1"/>
  <c r="M46" i="1"/>
  <c r="K46" i="1" s="1"/>
  <c r="L46" i="1" s="1"/>
  <c r="AB46" i="1" s="1"/>
  <c r="N46" i="1"/>
  <c r="P46" i="1"/>
  <c r="W46" i="1"/>
  <c r="Y46" i="1"/>
  <c r="AA46" i="1"/>
  <c r="I47" i="1"/>
  <c r="J47" i="1"/>
  <c r="K47" i="1"/>
  <c r="L47" i="1" s="1"/>
  <c r="AB47" i="1" s="1"/>
  <c r="M47" i="1"/>
  <c r="N47" i="1"/>
  <c r="P47" i="1"/>
  <c r="W47" i="1"/>
  <c r="Y47" i="1"/>
  <c r="AA47" i="1"/>
  <c r="I48" i="1"/>
  <c r="J48" i="1"/>
  <c r="K48" i="1"/>
  <c r="L48" i="1"/>
  <c r="M48" i="1"/>
  <c r="N48" i="1"/>
  <c r="P48" i="1"/>
  <c r="W48" i="1"/>
  <c r="AA48" i="1" s="1"/>
  <c r="Y48" i="1"/>
  <c r="I49" i="1"/>
  <c r="J49" i="1" s="1"/>
  <c r="AA49" i="1" s="1"/>
  <c r="M49" i="1"/>
  <c r="P49" i="1"/>
  <c r="W49" i="1"/>
  <c r="Y49" i="1"/>
  <c r="AA50" i="1"/>
  <c r="AB50" i="1"/>
  <c r="AA51" i="1"/>
  <c r="AB51" i="1"/>
  <c r="AA52" i="1"/>
  <c r="AB52" i="1"/>
  <c r="I53" i="1"/>
  <c r="J53" i="1"/>
  <c r="K53" i="1"/>
  <c r="L53" i="1"/>
  <c r="M53" i="1"/>
  <c r="N53" i="1"/>
  <c r="P53" i="1"/>
  <c r="W53" i="1"/>
  <c r="AA53" i="1" s="1"/>
  <c r="Y53" i="1"/>
  <c r="I54" i="1"/>
  <c r="J54" i="1" s="1"/>
  <c r="AA54" i="1" s="1"/>
  <c r="M54" i="1"/>
  <c r="P54" i="1"/>
  <c r="W54" i="1"/>
  <c r="Y54" i="1"/>
  <c r="I55" i="1"/>
  <c r="J55" i="1"/>
  <c r="M55" i="1"/>
  <c r="K55" i="1" s="1"/>
  <c r="L55" i="1" s="1"/>
  <c r="AB55" i="1" s="1"/>
  <c r="N55" i="1"/>
  <c r="P55" i="1"/>
  <c r="W55" i="1"/>
  <c r="Y55" i="1"/>
  <c r="AA55" i="1"/>
  <c r="L56" i="1"/>
  <c r="I58" i="1"/>
  <c r="J58" i="1" s="1"/>
  <c r="M58" i="1"/>
  <c r="P58" i="1"/>
  <c r="W58" i="1"/>
  <c r="Y58" i="1"/>
  <c r="I59" i="1"/>
  <c r="J59" i="1"/>
  <c r="M59" i="1"/>
  <c r="K59" i="1" s="1"/>
  <c r="L59" i="1" s="1"/>
  <c r="AB59" i="1" s="1"/>
  <c r="N59" i="1"/>
  <c r="P59" i="1"/>
  <c r="W59" i="1"/>
  <c r="Y59" i="1"/>
  <c r="I60" i="1"/>
  <c r="J60" i="1"/>
  <c r="K60" i="1"/>
  <c r="L60" i="1" s="1"/>
  <c r="M60" i="1"/>
  <c r="N60" i="1"/>
  <c r="P60" i="1"/>
  <c r="W60" i="1"/>
  <c r="Y60" i="1"/>
  <c r="AA60" i="1"/>
  <c r="AB60" i="1"/>
  <c r="I61" i="1"/>
  <c r="J61" i="1"/>
  <c r="K61" i="1"/>
  <c r="L61" i="1"/>
  <c r="M61" i="1"/>
  <c r="N61" i="1"/>
  <c r="P61" i="1"/>
  <c r="W61" i="1"/>
  <c r="Y61" i="1"/>
  <c r="I62" i="1"/>
  <c r="J62" i="1" s="1"/>
  <c r="AA62" i="1" s="1"/>
  <c r="M62" i="1"/>
  <c r="P62" i="1"/>
  <c r="W62" i="1"/>
  <c r="Y62" i="1"/>
  <c r="I63" i="1"/>
  <c r="J63" i="1" s="1"/>
  <c r="AA63" i="1" s="1"/>
  <c r="M63" i="1"/>
  <c r="K63" i="1" s="1"/>
  <c r="L63" i="1" s="1"/>
  <c r="AB63" i="1" s="1"/>
  <c r="N63" i="1"/>
  <c r="P63" i="1"/>
  <c r="W63" i="1"/>
  <c r="Y63" i="1"/>
  <c r="I64" i="1"/>
  <c r="J64" i="1"/>
  <c r="K64" i="1"/>
  <c r="L64" i="1" s="1"/>
  <c r="AB64" i="1" s="1"/>
  <c r="M64" i="1"/>
  <c r="N64" i="1"/>
  <c r="P64" i="1"/>
  <c r="W64" i="1"/>
  <c r="AA64" i="1" s="1"/>
  <c r="Y64" i="1"/>
  <c r="I65" i="1"/>
  <c r="J65" i="1" s="1"/>
  <c r="M65" i="1"/>
  <c r="N65" i="1" s="1"/>
  <c r="P65" i="1"/>
  <c r="W65" i="1"/>
  <c r="Y65" i="1"/>
  <c r="I66" i="1"/>
  <c r="J66" i="1" s="1"/>
  <c r="AA66" i="1" s="1"/>
  <c r="M66" i="1"/>
  <c r="P66" i="1"/>
  <c r="W66" i="1"/>
  <c r="Y66" i="1"/>
  <c r="I67" i="1"/>
  <c r="J67" i="1"/>
  <c r="AA67" i="1" s="1"/>
  <c r="K67" i="1"/>
  <c r="L67" i="1" s="1"/>
  <c r="AB67" i="1" s="1"/>
  <c r="M67" i="1"/>
  <c r="N67" i="1"/>
  <c r="P67" i="1"/>
  <c r="W67" i="1"/>
  <c r="Y67" i="1"/>
  <c r="I68" i="1"/>
  <c r="J68" i="1"/>
  <c r="K68" i="1"/>
  <c r="L68" i="1" s="1"/>
  <c r="M68" i="1"/>
  <c r="N68" i="1"/>
  <c r="P68" i="1"/>
  <c r="W68" i="1"/>
  <c r="AA68" i="1" s="1"/>
  <c r="Y68" i="1"/>
  <c r="AB68" i="1"/>
  <c r="I69" i="1"/>
  <c r="J69" i="1" s="1"/>
  <c r="AA69" i="1" s="1"/>
  <c r="M69" i="1"/>
  <c r="N69" i="1" s="1"/>
  <c r="P69" i="1"/>
  <c r="W69" i="1"/>
  <c r="Y69" i="1"/>
  <c r="I70" i="1"/>
  <c r="J70" i="1" s="1"/>
  <c r="AA70" i="1" s="1"/>
  <c r="M70" i="1"/>
  <c r="P70" i="1"/>
  <c r="W70" i="1"/>
  <c r="Y70" i="1"/>
  <c r="I71" i="1"/>
  <c r="J71" i="1"/>
  <c r="AA71" i="1" s="1"/>
  <c r="K71" i="1"/>
  <c r="L71" i="1" s="1"/>
  <c r="AB71" i="1" s="1"/>
  <c r="M71" i="1"/>
  <c r="N71" i="1"/>
  <c r="P71" i="1"/>
  <c r="W71" i="1"/>
  <c r="Y71" i="1"/>
  <c r="I72" i="1"/>
  <c r="J72" i="1"/>
  <c r="K72" i="1"/>
  <c r="L72" i="1" s="1"/>
  <c r="M72" i="1"/>
  <c r="N72" i="1"/>
  <c r="P72" i="1"/>
  <c r="W72" i="1"/>
  <c r="AA72" i="1" s="1"/>
  <c r="Y72" i="1"/>
  <c r="AB72" i="1"/>
  <c r="I73" i="1"/>
  <c r="J73" i="1" s="1"/>
  <c r="M73" i="1"/>
  <c r="N73" i="1" s="1"/>
  <c r="P73" i="1"/>
  <c r="W73" i="1"/>
  <c r="Y73" i="1"/>
  <c r="I74" i="1"/>
  <c r="J74" i="1" s="1"/>
  <c r="AA74" i="1" s="1"/>
  <c r="M74" i="1"/>
  <c r="P74" i="1"/>
  <c r="W74" i="1"/>
  <c r="Y74" i="1"/>
  <c r="I75" i="1"/>
  <c r="J75" i="1"/>
  <c r="K75" i="1"/>
  <c r="L75" i="1" s="1"/>
  <c r="AB75" i="1" s="1"/>
  <c r="M75" i="1"/>
  <c r="N75" i="1"/>
  <c r="P75" i="1"/>
  <c r="W75" i="1"/>
  <c r="Y75" i="1"/>
  <c r="AA75" i="1"/>
  <c r="I76" i="1"/>
  <c r="J76" i="1"/>
  <c r="K76" i="1"/>
  <c r="L76" i="1" s="1"/>
  <c r="AB76" i="1" s="1"/>
  <c r="M76" i="1"/>
  <c r="N76" i="1"/>
  <c r="P76" i="1"/>
  <c r="W76" i="1"/>
  <c r="AA76" i="1" s="1"/>
  <c r="Y76" i="1"/>
  <c r="I77" i="1"/>
  <c r="J77" i="1" s="1"/>
  <c r="M77" i="1"/>
  <c r="N77" i="1" s="1"/>
  <c r="P77" i="1"/>
  <c r="W77" i="1"/>
  <c r="Y77" i="1"/>
  <c r="I78" i="1"/>
  <c r="J78" i="1" s="1"/>
  <c r="AA78" i="1" s="1"/>
  <c r="M78" i="1"/>
  <c r="P78" i="1"/>
  <c r="W78" i="1"/>
  <c r="Y78" i="1"/>
  <c r="I79" i="1"/>
  <c r="J79" i="1"/>
  <c r="AA79" i="1" s="1"/>
  <c r="K79" i="1"/>
  <c r="L79" i="1" s="1"/>
  <c r="AB79" i="1" s="1"/>
  <c r="M79" i="1"/>
  <c r="N79" i="1"/>
  <c r="P79" i="1"/>
  <c r="W79" i="1"/>
  <c r="Y79" i="1"/>
  <c r="I80" i="1"/>
  <c r="J80" i="1"/>
  <c r="K80" i="1"/>
  <c r="L80" i="1" s="1"/>
  <c r="AB80" i="1" s="1"/>
  <c r="M80" i="1"/>
  <c r="N80" i="1"/>
  <c r="P80" i="1"/>
  <c r="W80" i="1"/>
  <c r="AA80" i="1" s="1"/>
  <c r="Y80" i="1"/>
  <c r="I81" i="1"/>
  <c r="J81" i="1" s="1"/>
  <c r="M81" i="1"/>
  <c r="N81" i="1" s="1"/>
  <c r="P81" i="1"/>
  <c r="W81" i="1"/>
  <c r="Y81" i="1"/>
  <c r="I82" i="1"/>
  <c r="J82" i="1" s="1"/>
  <c r="AA82" i="1" s="1"/>
  <c r="M82" i="1"/>
  <c r="P82" i="1"/>
  <c r="W82" i="1"/>
  <c r="Y82" i="1"/>
  <c r="I83" i="1"/>
  <c r="J83" i="1"/>
  <c r="AA83" i="1" s="1"/>
  <c r="K83" i="1"/>
  <c r="L83" i="1" s="1"/>
  <c r="AB83" i="1" s="1"/>
  <c r="M83" i="1"/>
  <c r="N83" i="1"/>
  <c r="P83" i="1"/>
  <c r="W83" i="1"/>
  <c r="Y83" i="1"/>
  <c r="I84" i="1"/>
  <c r="J84" i="1"/>
  <c r="K84" i="1"/>
  <c r="L84" i="1" s="1"/>
  <c r="M84" i="1"/>
  <c r="N84" i="1"/>
  <c r="P84" i="1"/>
  <c r="W84" i="1"/>
  <c r="AA84" i="1" s="1"/>
  <c r="Y84" i="1"/>
  <c r="AB84" i="1"/>
  <c r="I85" i="1"/>
  <c r="J85" i="1" s="1"/>
  <c r="M85" i="1"/>
  <c r="N85" i="1" s="1"/>
  <c r="P85" i="1"/>
  <c r="W85" i="1"/>
  <c r="AA85" i="1" s="1"/>
  <c r="Y85" i="1"/>
  <c r="I86" i="1"/>
  <c r="J86" i="1" s="1"/>
  <c r="M86" i="1"/>
  <c r="P86" i="1"/>
  <c r="W86" i="1"/>
  <c r="Y86" i="1"/>
  <c r="AA86" i="1"/>
  <c r="P87" i="1"/>
  <c r="W87" i="1"/>
  <c r="Y87" i="1"/>
  <c r="I88" i="1"/>
  <c r="J87" i="1" s="1"/>
  <c r="AA87" i="1" s="1"/>
  <c r="M88" i="1"/>
  <c r="AA88" i="1"/>
  <c r="AB88" i="1"/>
  <c r="I89" i="1"/>
  <c r="J89" i="1"/>
  <c r="AA89" i="1" s="1"/>
  <c r="M89" i="1"/>
  <c r="K89" i="1" s="1"/>
  <c r="L89" i="1" s="1"/>
  <c r="AB89" i="1" s="1"/>
  <c r="N89" i="1"/>
  <c r="P89" i="1"/>
  <c r="W89" i="1"/>
  <c r="Y89" i="1"/>
  <c r="I90" i="1"/>
  <c r="J90" i="1"/>
  <c r="K90" i="1"/>
  <c r="L90" i="1" s="1"/>
  <c r="M90" i="1"/>
  <c r="N90" i="1"/>
  <c r="P90" i="1"/>
  <c r="W90" i="1"/>
  <c r="Y90" i="1"/>
  <c r="AA90" i="1"/>
  <c r="AB90" i="1"/>
  <c r="I91" i="1"/>
  <c r="J91" i="1"/>
  <c r="K91" i="1"/>
  <c r="L91" i="1"/>
  <c r="M91" i="1"/>
  <c r="N91" i="1"/>
  <c r="P91" i="1"/>
  <c r="W91" i="1"/>
  <c r="AA91" i="1" s="1"/>
  <c r="Y91" i="1"/>
  <c r="I92" i="1"/>
  <c r="J92" i="1" s="1"/>
  <c r="M92" i="1"/>
  <c r="P92" i="1"/>
  <c r="W92" i="1"/>
  <c r="Y92" i="1"/>
  <c r="I93" i="1"/>
  <c r="J93" i="1" s="1"/>
  <c r="AA93" i="1" s="1"/>
  <c r="M93" i="1"/>
  <c r="K93" i="1" s="1"/>
  <c r="L93" i="1" s="1"/>
  <c r="AB93" i="1" s="1"/>
  <c r="N93" i="1"/>
  <c r="P93" i="1"/>
  <c r="W93" i="1"/>
  <c r="Y93" i="1"/>
  <c r="I94" i="1"/>
  <c r="J94" i="1"/>
  <c r="K94" i="1"/>
  <c r="L94" i="1" s="1"/>
  <c r="AB94" i="1" s="1"/>
  <c r="M94" i="1"/>
  <c r="N94" i="1"/>
  <c r="P94" i="1"/>
  <c r="W94" i="1"/>
  <c r="Y94" i="1"/>
  <c r="AA94" i="1"/>
  <c r="I95" i="1"/>
  <c r="J95" i="1"/>
  <c r="K95" i="1"/>
  <c r="L95" i="1" s="1"/>
  <c r="M95" i="1"/>
  <c r="N95" i="1"/>
  <c r="P95" i="1"/>
  <c r="W95" i="1"/>
  <c r="AA95" i="1" s="1"/>
  <c r="Y95" i="1"/>
  <c r="AB95" i="1"/>
  <c r="I96" i="1"/>
  <c r="J96" i="1" s="1"/>
  <c r="M96" i="1"/>
  <c r="P96" i="1"/>
  <c r="W96" i="1"/>
  <c r="Y96" i="1"/>
  <c r="I97" i="1"/>
  <c r="J97" i="1"/>
  <c r="M97" i="1"/>
  <c r="K97" i="1" s="1"/>
  <c r="L97" i="1" s="1"/>
  <c r="AB97" i="1" s="1"/>
  <c r="P97" i="1"/>
  <c r="W97" i="1"/>
  <c r="Y97" i="1"/>
  <c r="AA97" i="1"/>
  <c r="I98" i="1"/>
  <c r="J98" i="1"/>
  <c r="AA98" i="1" s="1"/>
  <c r="K98" i="1"/>
  <c r="L98" i="1" s="1"/>
  <c r="M98" i="1"/>
  <c r="N98" i="1"/>
  <c r="P98" i="1"/>
  <c r="W98" i="1"/>
  <c r="Y98" i="1"/>
  <c r="AB98" i="1"/>
  <c r="I99" i="1"/>
  <c r="J99" i="1"/>
  <c r="K99" i="1"/>
  <c r="L99" i="1"/>
  <c r="M99" i="1"/>
  <c r="N99" i="1"/>
  <c r="P99" i="1"/>
  <c r="W99" i="1"/>
  <c r="AA99" i="1" s="1"/>
  <c r="Y99" i="1"/>
  <c r="I100" i="1"/>
  <c r="J100" i="1" s="1"/>
  <c r="M100" i="1"/>
  <c r="P100" i="1"/>
  <c r="W100" i="1"/>
  <c r="Y100" i="1"/>
  <c r="I101" i="1"/>
  <c r="J101" i="1" s="1"/>
  <c r="AA101" i="1" s="1"/>
  <c r="M101" i="1"/>
  <c r="K101" i="1" s="1"/>
  <c r="L101" i="1" s="1"/>
  <c r="AB101" i="1" s="1"/>
  <c r="N101" i="1"/>
  <c r="P101" i="1"/>
  <c r="W101" i="1"/>
  <c r="Y101" i="1"/>
  <c r="I102" i="1"/>
  <c r="J102" i="1"/>
  <c r="K102" i="1"/>
  <c r="L102" i="1" s="1"/>
  <c r="AB102" i="1" s="1"/>
  <c r="M102" i="1"/>
  <c r="N102" i="1"/>
  <c r="P102" i="1"/>
  <c r="W102" i="1"/>
  <c r="Y102" i="1"/>
  <c r="AA102" i="1"/>
  <c r="I103" i="1"/>
  <c r="J103" i="1"/>
  <c r="K103" i="1"/>
  <c r="L103" i="1" s="1"/>
  <c r="M103" i="1"/>
  <c r="N103" i="1"/>
  <c r="P103" i="1"/>
  <c r="W103" i="1"/>
  <c r="AA103" i="1" s="1"/>
  <c r="Y103" i="1"/>
  <c r="AB103" i="1"/>
  <c r="I104" i="1"/>
  <c r="J104" i="1" s="1"/>
  <c r="M104" i="1"/>
  <c r="P104" i="1"/>
  <c r="W104" i="1"/>
  <c r="Y104" i="1"/>
  <c r="I105" i="1"/>
  <c r="J105" i="1"/>
  <c r="AA105" i="1" s="1"/>
  <c r="M105" i="1"/>
  <c r="K105" i="1" s="1"/>
  <c r="L105" i="1" s="1"/>
  <c r="AB105" i="1" s="1"/>
  <c r="P105" i="1"/>
  <c r="W105" i="1"/>
  <c r="Y105" i="1"/>
  <c r="I107" i="1"/>
  <c r="J107" i="1" s="1"/>
  <c r="L107" i="1"/>
  <c r="AB107" i="1" s="1"/>
  <c r="M107" i="1"/>
  <c r="N107" i="1" s="1"/>
  <c r="P107" i="1"/>
  <c r="W107" i="1"/>
  <c r="Y107" i="1"/>
  <c r="AA107" i="1"/>
  <c r="I110" i="1"/>
  <c r="J110" i="1" s="1"/>
  <c r="M110" i="1"/>
  <c r="P110" i="1"/>
  <c r="P109" i="1" s="1"/>
  <c r="AA110" i="1"/>
  <c r="I111" i="1"/>
  <c r="J111" i="1"/>
  <c r="K111" i="1"/>
  <c r="L111" i="1" s="1"/>
  <c r="M111" i="1"/>
  <c r="N111" i="1"/>
  <c r="P111" i="1"/>
  <c r="T111" i="1"/>
  <c r="I112" i="1"/>
  <c r="J112" i="1"/>
  <c r="K112" i="1"/>
  <c r="L112" i="1"/>
  <c r="M112" i="1"/>
  <c r="N112" i="1"/>
  <c r="P112" i="1"/>
  <c r="W112" i="1"/>
  <c r="AA112" i="1" s="1"/>
  <c r="Y112" i="1"/>
  <c r="I113" i="1"/>
  <c r="J113" i="1" s="1"/>
  <c r="K113" i="1"/>
  <c r="L113" i="1" s="1"/>
  <c r="AB113" i="1" s="1"/>
  <c r="M113" i="1"/>
  <c r="N113" i="1" s="1"/>
  <c r="P113" i="1"/>
  <c r="W113" i="1"/>
  <c r="Y113" i="1"/>
  <c r="I114" i="1"/>
  <c r="J114" i="1"/>
  <c r="M114" i="1"/>
  <c r="K114" i="1" s="1"/>
  <c r="L114" i="1" s="1"/>
  <c r="AB114" i="1" s="1"/>
  <c r="N114" i="1"/>
  <c r="P114" i="1"/>
  <c r="W114" i="1"/>
  <c r="Y114" i="1"/>
  <c r="AA114" i="1"/>
  <c r="I115" i="1"/>
  <c r="J115" i="1"/>
  <c r="K115" i="1"/>
  <c r="L115" i="1" s="1"/>
  <c r="AB115" i="1" s="1"/>
  <c r="M115" i="1"/>
  <c r="N115" i="1"/>
  <c r="P115" i="1"/>
  <c r="W115" i="1"/>
  <c r="Y115" i="1"/>
  <c r="AA115" i="1"/>
  <c r="I116" i="1"/>
  <c r="J116" i="1" s="1"/>
  <c r="K116" i="1"/>
  <c r="L116" i="1"/>
  <c r="AB116" i="1" s="1"/>
  <c r="M116" i="1"/>
  <c r="N116" i="1" s="1"/>
  <c r="P116" i="1"/>
  <c r="W116" i="1"/>
  <c r="Y116" i="1"/>
  <c r="J130" i="1"/>
  <c r="J144" i="1"/>
  <c r="M29" i="1" s="1"/>
  <c r="N144" i="1"/>
  <c r="L144" i="1" s="1"/>
  <c r="C8" i="2"/>
  <c r="E8" i="2"/>
  <c r="G8" i="2"/>
  <c r="J8" i="2"/>
  <c r="L8" i="2"/>
  <c r="C10" i="2"/>
  <c r="N10" i="2"/>
  <c r="N8" i="2" s="1"/>
  <c r="D20" i="2"/>
  <c r="E20" i="2"/>
  <c r="F20" i="2"/>
  <c r="N21" i="2"/>
  <c r="N30" i="2" s="1"/>
  <c r="N22" i="2"/>
  <c r="C29" i="2"/>
  <c r="E29" i="2"/>
  <c r="G29" i="2"/>
  <c r="J29" i="2"/>
  <c r="L29" i="2"/>
  <c r="N29" i="2"/>
  <c r="C30" i="2"/>
  <c r="E30" i="2"/>
  <c r="AV6" i="5"/>
  <c r="AX6" i="5"/>
  <c r="AZ6" i="5"/>
  <c r="BB6" i="5"/>
  <c r="BI6" i="5"/>
  <c r="BK6" i="5"/>
  <c r="AV7" i="5"/>
  <c r="AX7" i="5"/>
  <c r="AZ7" i="5"/>
  <c r="BB7" i="5"/>
  <c r="BI7" i="5"/>
  <c r="BK7" i="5"/>
  <c r="AV8" i="5"/>
  <c r="AX8" i="5"/>
  <c r="AZ8" i="5"/>
  <c r="BB8" i="5"/>
  <c r="BI8" i="5"/>
  <c r="BK8" i="5"/>
  <c r="AV9" i="5"/>
  <c r="AX9" i="5"/>
  <c r="AZ9" i="5"/>
  <c r="BB9" i="5"/>
  <c r="BI9" i="5"/>
  <c r="BK9" i="5"/>
  <c r="AV10" i="5"/>
  <c r="AX10" i="5"/>
  <c r="AZ10" i="5"/>
  <c r="BB10" i="5"/>
  <c r="BO10" i="5" s="1"/>
  <c r="BO115" i="5" s="1"/>
  <c r="BL130" i="5" s="1"/>
  <c r="BM130" i="5" s="1"/>
  <c r="BI10" i="5"/>
  <c r="BK10" i="5"/>
  <c r="AV11" i="5"/>
  <c r="AX11" i="5"/>
  <c r="AZ11" i="5"/>
  <c r="BB11" i="5"/>
  <c r="BL11" i="5" s="1"/>
  <c r="BI11" i="5"/>
  <c r="BK11" i="5"/>
  <c r="AV12" i="5"/>
  <c r="AX12" i="5"/>
  <c r="AZ12" i="5"/>
  <c r="BB12" i="5"/>
  <c r="BL12" i="5" s="1"/>
  <c r="BI12" i="5"/>
  <c r="BK12" i="5"/>
  <c r="BH13" i="5"/>
  <c r="AH14" i="5"/>
  <c r="AV14" i="5"/>
  <c r="AX14" i="5"/>
  <c r="AZ14" i="5"/>
  <c r="AZ13" i="5" s="1"/>
  <c r="BB14" i="5"/>
  <c r="BI14" i="5"/>
  <c r="BK14" i="5"/>
  <c r="AV15" i="5"/>
  <c r="AX15" i="5"/>
  <c r="AZ15" i="5"/>
  <c r="BB15" i="5"/>
  <c r="BI15" i="5"/>
  <c r="BK15" i="5"/>
  <c r="AV16" i="5"/>
  <c r="AX16" i="5"/>
  <c r="AZ16" i="5"/>
  <c r="BB16" i="5"/>
  <c r="BI16" i="5"/>
  <c r="BK16" i="5"/>
  <c r="BK13" i="5" s="1"/>
  <c r="AV17" i="5"/>
  <c r="AX17" i="5"/>
  <c r="AZ17" i="5"/>
  <c r="BB17" i="5"/>
  <c r="BI17" i="5"/>
  <c r="BK17" i="5"/>
  <c r="AV18" i="5"/>
  <c r="AX18" i="5"/>
  <c r="AZ18" i="5"/>
  <c r="BB18" i="5"/>
  <c r="BI18" i="5"/>
  <c r="BK18" i="5"/>
  <c r="AV19" i="5"/>
  <c r="AX19" i="5"/>
  <c r="AZ19" i="5"/>
  <c r="BB19" i="5"/>
  <c r="BI19" i="5"/>
  <c r="BK19" i="5"/>
  <c r="AV20" i="5"/>
  <c r="BL20" i="5" s="1"/>
  <c r="AX20" i="5"/>
  <c r="AZ20" i="5"/>
  <c r="BB20" i="5"/>
  <c r="BI20" i="5"/>
  <c r="BK20" i="5"/>
  <c r="AV21" i="5"/>
  <c r="BM21" i="5" s="1"/>
  <c r="AX21" i="5"/>
  <c r="AZ21" i="5"/>
  <c r="BB21" i="5"/>
  <c r="BI21" i="5"/>
  <c r="BK21" i="5"/>
  <c r="AX22" i="5"/>
  <c r="BH22" i="5"/>
  <c r="BI22" i="5"/>
  <c r="AV23" i="5"/>
  <c r="AX23" i="5"/>
  <c r="AZ23" i="5"/>
  <c r="AZ22" i="5" s="1"/>
  <c r="BB23" i="5"/>
  <c r="BB22" i="5" s="1"/>
  <c r="BI23" i="5"/>
  <c r="BK23" i="5"/>
  <c r="BK22" i="5" s="1"/>
  <c r="BL23" i="5"/>
  <c r="AV24" i="5"/>
  <c r="AX24" i="5"/>
  <c r="AZ24" i="5"/>
  <c r="BB24" i="5"/>
  <c r="BI24" i="5"/>
  <c r="BK24" i="5"/>
  <c r="AV25" i="5"/>
  <c r="AX25" i="5"/>
  <c r="AZ25" i="5"/>
  <c r="BB25" i="5"/>
  <c r="BI25" i="5"/>
  <c r="BK25" i="5"/>
  <c r="AV26" i="5"/>
  <c r="AV22" i="5" s="1"/>
  <c r="AX26" i="5"/>
  <c r="AZ26" i="5"/>
  <c r="BB26" i="5"/>
  <c r="BI26" i="5"/>
  <c r="BK26" i="5"/>
  <c r="AV27" i="5"/>
  <c r="AX27" i="5"/>
  <c r="AZ27" i="5"/>
  <c r="BB27" i="5"/>
  <c r="BI27" i="5"/>
  <c r="BK27" i="5"/>
  <c r="AU28" i="5"/>
  <c r="BS28" i="5" s="1"/>
  <c r="BS115" i="5" s="1"/>
  <c r="AW28" i="5"/>
  <c r="AY28" i="5"/>
  <c r="BA28" i="5"/>
  <c r="BI28" i="5"/>
  <c r="BJ28" i="5"/>
  <c r="BK28" i="5" s="1"/>
  <c r="BT28" i="5"/>
  <c r="BT115" i="5" s="1"/>
  <c r="BV28" i="5"/>
  <c r="AV30" i="5"/>
  <c r="AX30" i="5"/>
  <c r="AZ30" i="5"/>
  <c r="BB30" i="5"/>
  <c r="BI30" i="5"/>
  <c r="BK30" i="5"/>
  <c r="AV31" i="5"/>
  <c r="AX31" i="5"/>
  <c r="AZ31" i="5"/>
  <c r="AZ29" i="5" s="1"/>
  <c r="BB31" i="5"/>
  <c r="BI31" i="5"/>
  <c r="BK31" i="5"/>
  <c r="BL31" i="5"/>
  <c r="AV32" i="5"/>
  <c r="AX32" i="5"/>
  <c r="AZ32" i="5"/>
  <c r="BB32" i="5"/>
  <c r="BL32" i="5" s="1"/>
  <c r="BI32" i="5"/>
  <c r="BK32" i="5"/>
  <c r="AV33" i="5"/>
  <c r="AX33" i="5"/>
  <c r="AZ33" i="5"/>
  <c r="BB33" i="5"/>
  <c r="BI33" i="5"/>
  <c r="BK33" i="5"/>
  <c r="AV34" i="5"/>
  <c r="AX34" i="5"/>
  <c r="AZ34" i="5"/>
  <c r="BB34" i="5"/>
  <c r="BI34" i="5"/>
  <c r="BK34" i="5"/>
  <c r="AV35" i="5"/>
  <c r="BL35" i="5" s="1"/>
  <c r="AX35" i="5"/>
  <c r="AZ35" i="5"/>
  <c r="BB35" i="5"/>
  <c r="BI35" i="5"/>
  <c r="BK35" i="5"/>
  <c r="AV36" i="5"/>
  <c r="AX36" i="5"/>
  <c r="AZ36" i="5"/>
  <c r="BB36" i="5"/>
  <c r="BI36" i="5"/>
  <c r="BK36" i="5"/>
  <c r="AV37" i="5"/>
  <c r="AX37" i="5"/>
  <c r="AZ37" i="5"/>
  <c r="BB37" i="5"/>
  <c r="BI37" i="5"/>
  <c r="BK37" i="5"/>
  <c r="AV39" i="5"/>
  <c r="AX39" i="5"/>
  <c r="AZ39" i="5"/>
  <c r="BB39" i="5"/>
  <c r="BI39" i="5"/>
  <c r="BK39" i="5"/>
  <c r="BO39" i="5"/>
  <c r="AV40" i="5"/>
  <c r="AX40" i="5"/>
  <c r="AZ40" i="5"/>
  <c r="BB40" i="5"/>
  <c r="BI40" i="5"/>
  <c r="BK40" i="5"/>
  <c r="AV41" i="5"/>
  <c r="BM41" i="5" s="1"/>
  <c r="BP41" i="5" s="1"/>
  <c r="AX41" i="5"/>
  <c r="AZ41" i="5"/>
  <c r="BB41" i="5"/>
  <c r="BI41" i="5"/>
  <c r="BK41" i="5"/>
  <c r="BQ41" i="5"/>
  <c r="AV42" i="5"/>
  <c r="BM42" i="5" s="1"/>
  <c r="BP42" i="5" s="1"/>
  <c r="AX42" i="5"/>
  <c r="AZ42" i="5"/>
  <c r="BB42" i="5"/>
  <c r="BI42" i="5"/>
  <c r="BK42" i="5"/>
  <c r="BQ42" i="5"/>
  <c r="AV43" i="5"/>
  <c r="AX43" i="5"/>
  <c r="AZ43" i="5"/>
  <c r="BB43" i="5"/>
  <c r="BI43" i="5"/>
  <c r="BK43" i="5"/>
  <c r="AV44" i="5"/>
  <c r="AX44" i="5"/>
  <c r="AZ44" i="5"/>
  <c r="BB44" i="5"/>
  <c r="BI44" i="5"/>
  <c r="BK44" i="5"/>
  <c r="AV45" i="5"/>
  <c r="AX45" i="5"/>
  <c r="AZ45" i="5"/>
  <c r="BB45" i="5"/>
  <c r="BI45" i="5"/>
  <c r="BK45" i="5"/>
  <c r="AV46" i="5"/>
  <c r="AX46" i="5"/>
  <c r="AZ46" i="5"/>
  <c r="BB46" i="5"/>
  <c r="BI46" i="5"/>
  <c r="BK46" i="5"/>
  <c r="AV47" i="5"/>
  <c r="AX47" i="5"/>
  <c r="AZ47" i="5"/>
  <c r="BB47" i="5"/>
  <c r="BI47" i="5"/>
  <c r="BK47" i="5"/>
  <c r="AV48" i="5"/>
  <c r="AX48" i="5"/>
  <c r="AZ48" i="5"/>
  <c r="BB48" i="5"/>
  <c r="BI48" i="5"/>
  <c r="BK48" i="5"/>
  <c r="AV52" i="5"/>
  <c r="AX52" i="5"/>
  <c r="AZ52" i="5"/>
  <c r="BB52" i="5"/>
  <c r="BI52" i="5"/>
  <c r="BK52" i="5"/>
  <c r="AV53" i="5"/>
  <c r="AX53" i="5"/>
  <c r="AZ53" i="5"/>
  <c r="BB53" i="5"/>
  <c r="BI53" i="5"/>
  <c r="BK53" i="5"/>
  <c r="BL53" i="5"/>
  <c r="AV54" i="5"/>
  <c r="AX54" i="5"/>
  <c r="AZ54" i="5"/>
  <c r="BB54" i="5"/>
  <c r="BL54" i="5" s="1"/>
  <c r="BI54" i="5"/>
  <c r="BK54" i="5"/>
  <c r="AU55" i="5"/>
  <c r="AU104" i="5" s="1"/>
  <c r="BH55" i="5"/>
  <c r="AV56" i="5"/>
  <c r="AX56" i="5"/>
  <c r="AZ56" i="5"/>
  <c r="BB56" i="5"/>
  <c r="BI56" i="5"/>
  <c r="BK56" i="5"/>
  <c r="AV57" i="5"/>
  <c r="AX57" i="5"/>
  <c r="AZ57" i="5"/>
  <c r="BB57" i="5"/>
  <c r="BI57" i="5"/>
  <c r="BK57" i="5"/>
  <c r="AV58" i="5"/>
  <c r="AX58" i="5"/>
  <c r="AZ58" i="5"/>
  <c r="BB58" i="5"/>
  <c r="BI58" i="5"/>
  <c r="BK58" i="5"/>
  <c r="AV59" i="5"/>
  <c r="AX59" i="5"/>
  <c r="AZ59" i="5"/>
  <c r="BB59" i="5"/>
  <c r="BI59" i="5"/>
  <c r="BK59" i="5"/>
  <c r="AV60" i="5"/>
  <c r="AX60" i="5"/>
  <c r="AZ60" i="5"/>
  <c r="BB60" i="5"/>
  <c r="BI60" i="5"/>
  <c r="BK60" i="5"/>
  <c r="AV61" i="5"/>
  <c r="AX61" i="5"/>
  <c r="AZ61" i="5"/>
  <c r="BB61" i="5"/>
  <c r="BI61" i="5"/>
  <c r="BK61" i="5"/>
  <c r="AV62" i="5"/>
  <c r="AX62" i="5"/>
  <c r="AZ62" i="5"/>
  <c r="BB62" i="5"/>
  <c r="BI62" i="5"/>
  <c r="BK62" i="5"/>
  <c r="AV63" i="5"/>
  <c r="AX63" i="5"/>
  <c r="AZ63" i="5"/>
  <c r="BB63" i="5"/>
  <c r="BI63" i="5"/>
  <c r="BK63" i="5"/>
  <c r="AV64" i="5"/>
  <c r="AX64" i="5"/>
  <c r="AZ64" i="5"/>
  <c r="BB64" i="5"/>
  <c r="BI64" i="5"/>
  <c r="BK64" i="5"/>
  <c r="AV65" i="5"/>
  <c r="AX65" i="5"/>
  <c r="AZ65" i="5"/>
  <c r="BB65" i="5"/>
  <c r="BI65" i="5"/>
  <c r="BK65" i="5"/>
  <c r="AV66" i="5"/>
  <c r="AX66" i="5"/>
  <c r="AZ66" i="5"/>
  <c r="BB66" i="5"/>
  <c r="BI66" i="5"/>
  <c r="BK66" i="5"/>
  <c r="AV67" i="5"/>
  <c r="AX67" i="5"/>
  <c r="AZ67" i="5"/>
  <c r="BB67" i="5"/>
  <c r="BI67" i="5"/>
  <c r="BK67" i="5"/>
  <c r="AV68" i="5"/>
  <c r="AX68" i="5"/>
  <c r="AZ68" i="5"/>
  <c r="BB68" i="5"/>
  <c r="BI68" i="5"/>
  <c r="BK68" i="5"/>
  <c r="AV69" i="5"/>
  <c r="AX69" i="5"/>
  <c r="AZ69" i="5"/>
  <c r="BB69" i="5"/>
  <c r="BI69" i="5"/>
  <c r="BK69" i="5"/>
  <c r="AV70" i="5"/>
  <c r="AX70" i="5"/>
  <c r="AZ70" i="5"/>
  <c r="BB70" i="5"/>
  <c r="BI70" i="5"/>
  <c r="BK70" i="5"/>
  <c r="AV71" i="5"/>
  <c r="AX71" i="5"/>
  <c r="AZ71" i="5"/>
  <c r="BB71" i="5"/>
  <c r="BI71" i="5"/>
  <c r="BK71" i="5"/>
  <c r="AV72" i="5"/>
  <c r="AX72" i="5"/>
  <c r="AZ72" i="5"/>
  <c r="BB72" i="5"/>
  <c r="BI72" i="5"/>
  <c r="BK72" i="5"/>
  <c r="AV73" i="5"/>
  <c r="AX73" i="5"/>
  <c r="AZ73" i="5"/>
  <c r="BB73" i="5"/>
  <c r="BI73" i="5"/>
  <c r="BK73" i="5"/>
  <c r="AV74" i="5"/>
  <c r="AX74" i="5"/>
  <c r="AZ74" i="5"/>
  <c r="BB74" i="5"/>
  <c r="BI74" i="5"/>
  <c r="BK74" i="5"/>
  <c r="AV75" i="5"/>
  <c r="AX75" i="5"/>
  <c r="AZ75" i="5"/>
  <c r="BB75" i="5"/>
  <c r="BI75" i="5"/>
  <c r="BK75" i="5"/>
  <c r="AV76" i="5"/>
  <c r="AX76" i="5"/>
  <c r="AZ76" i="5"/>
  <c r="BB76" i="5"/>
  <c r="BI76" i="5"/>
  <c r="BK76" i="5"/>
  <c r="AV77" i="5"/>
  <c r="AX77" i="5"/>
  <c r="AZ77" i="5"/>
  <c r="BB77" i="5"/>
  <c r="BI77" i="5"/>
  <c r="BK77" i="5"/>
  <c r="AV78" i="5"/>
  <c r="AX78" i="5"/>
  <c r="AZ78" i="5"/>
  <c r="BB78" i="5"/>
  <c r="BI78" i="5"/>
  <c r="BK78" i="5"/>
  <c r="AV79" i="5"/>
  <c r="AX79" i="5"/>
  <c r="AZ79" i="5"/>
  <c r="BB79" i="5"/>
  <c r="BI79" i="5"/>
  <c r="BK79" i="5"/>
  <c r="AV80" i="5"/>
  <c r="AX80" i="5"/>
  <c r="AZ80" i="5"/>
  <c r="BB80" i="5"/>
  <c r="BI80" i="5"/>
  <c r="BK80" i="5"/>
  <c r="AV81" i="5"/>
  <c r="AX81" i="5"/>
  <c r="AZ81" i="5"/>
  <c r="BB81" i="5"/>
  <c r="BI81" i="5"/>
  <c r="BK81" i="5"/>
  <c r="AV82" i="5"/>
  <c r="BM82" i="5" s="1"/>
  <c r="AX82" i="5"/>
  <c r="AZ82" i="5"/>
  <c r="BB82" i="5"/>
  <c r="BI82" i="5"/>
  <c r="BK82" i="5"/>
  <c r="AV83" i="5"/>
  <c r="AX83" i="5"/>
  <c r="AZ83" i="5"/>
  <c r="BB83" i="5"/>
  <c r="BI83" i="5"/>
  <c r="BK83" i="5"/>
  <c r="AV84" i="5"/>
  <c r="AX84" i="5"/>
  <c r="AZ84" i="5"/>
  <c r="AZ118" i="5" s="1"/>
  <c r="BB84" i="5"/>
  <c r="BB118" i="5" s="1"/>
  <c r="BI84" i="5"/>
  <c r="BK84" i="5"/>
  <c r="AV85" i="5"/>
  <c r="AX85" i="5"/>
  <c r="AZ85" i="5"/>
  <c r="BB85" i="5"/>
  <c r="BI85" i="5"/>
  <c r="BK85" i="5"/>
  <c r="AV87" i="5"/>
  <c r="AX87" i="5"/>
  <c r="AZ87" i="5"/>
  <c r="BB87" i="5"/>
  <c r="BI87" i="5"/>
  <c r="BK87" i="5"/>
  <c r="AV88" i="5"/>
  <c r="AX88" i="5"/>
  <c r="AZ88" i="5"/>
  <c r="BB88" i="5"/>
  <c r="BI88" i="5"/>
  <c r="BK88" i="5"/>
  <c r="AV89" i="5"/>
  <c r="AX89" i="5"/>
  <c r="AZ89" i="5"/>
  <c r="AZ120" i="5" s="1"/>
  <c r="BB89" i="5"/>
  <c r="BB120" i="5" s="1"/>
  <c r="BI89" i="5"/>
  <c r="BK89" i="5"/>
  <c r="AV90" i="5"/>
  <c r="BM90" i="5" s="1"/>
  <c r="AX90" i="5"/>
  <c r="AZ90" i="5"/>
  <c r="BB90" i="5"/>
  <c r="BI90" i="5"/>
  <c r="BK90" i="5"/>
  <c r="AV91" i="5"/>
  <c r="AX91" i="5"/>
  <c r="AZ91" i="5"/>
  <c r="AY55" i="5" s="1"/>
  <c r="AY104" i="5" s="1"/>
  <c r="AZ104" i="5" s="1"/>
  <c r="BB91" i="5"/>
  <c r="BI91" i="5"/>
  <c r="BK91" i="5"/>
  <c r="AV92" i="5"/>
  <c r="AX92" i="5"/>
  <c r="AZ92" i="5"/>
  <c r="BB92" i="5"/>
  <c r="BI92" i="5"/>
  <c r="BK92" i="5"/>
  <c r="AV93" i="5"/>
  <c r="AX93" i="5"/>
  <c r="AZ93" i="5"/>
  <c r="BB93" i="5"/>
  <c r="BI93" i="5"/>
  <c r="BK93" i="5"/>
  <c r="AV94" i="5"/>
  <c r="BM94" i="5" s="1"/>
  <c r="AX94" i="5"/>
  <c r="AZ94" i="5"/>
  <c r="BB94" i="5"/>
  <c r="BI94" i="5"/>
  <c r="BK94" i="5"/>
  <c r="AV95" i="5"/>
  <c r="AX95" i="5"/>
  <c r="AX121" i="5" s="1"/>
  <c r="AZ95" i="5"/>
  <c r="BB95" i="5"/>
  <c r="BI95" i="5"/>
  <c r="BK95" i="5"/>
  <c r="AV96" i="5"/>
  <c r="AX96" i="5"/>
  <c r="AZ96" i="5"/>
  <c r="BB96" i="5"/>
  <c r="BI96" i="5"/>
  <c r="BK96" i="5"/>
  <c r="AV97" i="5"/>
  <c r="AX97" i="5"/>
  <c r="AZ97" i="5"/>
  <c r="BB97" i="5"/>
  <c r="BI97" i="5"/>
  <c r="BK97" i="5"/>
  <c r="AV98" i="5"/>
  <c r="AX98" i="5"/>
  <c r="AZ98" i="5"/>
  <c r="BB98" i="5"/>
  <c r="BI98" i="5"/>
  <c r="BK98" i="5"/>
  <c r="AV99" i="5"/>
  <c r="AX99" i="5"/>
  <c r="AZ99" i="5"/>
  <c r="BB99" i="5"/>
  <c r="BI99" i="5"/>
  <c r="BK99" i="5"/>
  <c r="AV100" i="5"/>
  <c r="AX100" i="5"/>
  <c r="AZ100" i="5"/>
  <c r="BB100" i="5"/>
  <c r="BI100" i="5"/>
  <c r="BK100" i="5"/>
  <c r="AV101" i="5"/>
  <c r="AX101" i="5"/>
  <c r="AZ101" i="5"/>
  <c r="BB101" i="5"/>
  <c r="BI101" i="5"/>
  <c r="BK101" i="5"/>
  <c r="AV102" i="5"/>
  <c r="AX102" i="5"/>
  <c r="AZ102" i="5"/>
  <c r="BB102" i="5"/>
  <c r="BI102" i="5"/>
  <c r="BK102" i="5"/>
  <c r="AV103" i="5"/>
  <c r="BL103" i="5" s="1"/>
  <c r="AX103" i="5"/>
  <c r="AZ103" i="5"/>
  <c r="BB103" i="5"/>
  <c r="BI103" i="5"/>
  <c r="BK103" i="5"/>
  <c r="AV105" i="5"/>
  <c r="AX105" i="5"/>
  <c r="AZ105" i="5"/>
  <c r="BB105" i="5"/>
  <c r="BI105" i="5"/>
  <c r="BK105" i="5"/>
  <c r="AV108" i="5"/>
  <c r="AX108" i="5"/>
  <c r="AZ108" i="5"/>
  <c r="BB108" i="5"/>
  <c r="AT109" i="5"/>
  <c r="AV109" i="5"/>
  <c r="AX109" i="5"/>
  <c r="AZ109" i="5"/>
  <c r="BB109" i="5"/>
  <c r="BF109" i="5"/>
  <c r="BK109" i="5" s="1"/>
  <c r="BI109" i="5"/>
  <c r="BI107" i="5" s="1"/>
  <c r="AV110" i="5"/>
  <c r="AX110" i="5"/>
  <c r="AZ110" i="5"/>
  <c r="BB110" i="5"/>
  <c r="BI110" i="5"/>
  <c r="BK110" i="5"/>
  <c r="AT111" i="5"/>
  <c r="BB111" i="5"/>
  <c r="BB107" i="5" s="1"/>
  <c r="BI111" i="5"/>
  <c r="BK111" i="5"/>
  <c r="AV112" i="5"/>
  <c r="BM112" i="5" s="1"/>
  <c r="AX112" i="5"/>
  <c r="AZ112" i="5"/>
  <c r="BB112" i="5"/>
  <c r="BI112" i="5"/>
  <c r="BK112" i="5"/>
  <c r="BQ112" i="5" s="1"/>
  <c r="AV113" i="5"/>
  <c r="BM113" i="5" s="1"/>
  <c r="AX113" i="5"/>
  <c r="AZ113" i="5"/>
  <c r="BB113" i="5"/>
  <c r="BI113" i="5"/>
  <c r="BK113" i="5"/>
  <c r="BQ113" i="5" s="1"/>
  <c r="AV114" i="5"/>
  <c r="AX114" i="5"/>
  <c r="AZ114" i="5"/>
  <c r="BB114" i="5"/>
  <c r="BI114" i="5"/>
  <c r="BK114" i="5"/>
  <c r="BV115" i="5"/>
  <c r="BK133" i="5" s="1"/>
  <c r="BL137" i="5" s="1"/>
  <c r="AV117" i="5"/>
  <c r="AX117" i="5"/>
  <c r="AX116" i="5" s="1"/>
  <c r="AZ117" i="5"/>
  <c r="AZ116" i="5" s="1"/>
  <c r="BB117" i="5"/>
  <c r="BB116" i="5" s="1"/>
  <c r="AV118" i="5"/>
  <c r="AX118" i="5"/>
  <c r="AV119" i="5"/>
  <c r="AX119" i="5"/>
  <c r="AZ119" i="5"/>
  <c r="BB119" i="5"/>
  <c r="AV120" i="5"/>
  <c r="AX120" i="5"/>
  <c r="AV121" i="5"/>
  <c r="AZ121" i="5"/>
  <c r="BB121" i="5"/>
  <c r="BL132" i="5"/>
  <c r="AV134" i="5"/>
  <c r="AX134" i="5"/>
  <c r="AZ134" i="5"/>
  <c r="BB134" i="5"/>
  <c r="J6" i="4"/>
  <c r="K6" i="4"/>
  <c r="L6" i="4"/>
  <c r="M6" i="4"/>
  <c r="N6" i="4"/>
  <c r="A7" i="4"/>
  <c r="A8" i="4" s="1"/>
  <c r="A9" i="4" s="1"/>
  <c r="A10" i="4" s="1"/>
  <c r="A11" i="4" s="1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J12" i="4"/>
  <c r="K12" i="4"/>
  <c r="L12" i="4"/>
  <c r="M12" i="4"/>
  <c r="M47" i="4" s="1"/>
  <c r="M59" i="4" s="1"/>
  <c r="M63" i="4" s="1"/>
  <c r="N12" i="4"/>
  <c r="J13" i="4"/>
  <c r="K13" i="4"/>
  <c r="L13" i="4"/>
  <c r="M13" i="4"/>
  <c r="N13" i="4"/>
  <c r="J14" i="4"/>
  <c r="K14" i="4"/>
  <c r="L14" i="4"/>
  <c r="M14" i="4"/>
  <c r="N14" i="4"/>
  <c r="N47" i="4" s="1"/>
  <c r="N59" i="4" s="1"/>
  <c r="N63" i="4" s="1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I47" i="4"/>
  <c r="J49" i="4"/>
  <c r="K49" i="4"/>
  <c r="L49" i="4"/>
  <c r="M49" i="4"/>
  <c r="N49" i="4"/>
  <c r="J50" i="4"/>
  <c r="K50" i="4"/>
  <c r="L50" i="4"/>
  <c r="M50" i="4"/>
  <c r="N50" i="4"/>
  <c r="A51" i="4"/>
  <c r="J51" i="4"/>
  <c r="K51" i="4"/>
  <c r="L51" i="4"/>
  <c r="L55" i="4" s="1"/>
  <c r="L61" i="4" s="1"/>
  <c r="M51" i="4"/>
  <c r="N51" i="4"/>
  <c r="A52" i="4"/>
  <c r="J52" i="4"/>
  <c r="K52" i="4"/>
  <c r="L52" i="4"/>
  <c r="M52" i="4"/>
  <c r="N52" i="4"/>
  <c r="J53" i="4"/>
  <c r="K53" i="4"/>
  <c r="L53" i="4"/>
  <c r="M53" i="4"/>
  <c r="N53" i="4"/>
  <c r="A54" i="4"/>
  <c r="J54" i="4"/>
  <c r="K54" i="4"/>
  <c r="L54" i="4"/>
  <c r="M54" i="4"/>
  <c r="N54" i="4"/>
  <c r="K55" i="4"/>
  <c r="K61" i="4" s="1"/>
  <c r="M55" i="4"/>
  <c r="L59" i="4"/>
  <c r="M61" i="4"/>
  <c r="L63" i="4"/>
  <c r="K65" i="4"/>
  <c r="K67" i="4"/>
  <c r="M67" i="4"/>
  <c r="J75" i="4"/>
  <c r="K75" i="4"/>
  <c r="K81" i="4" s="1"/>
  <c r="L75" i="4"/>
  <c r="L81" i="4" s="1"/>
  <c r="M75" i="4"/>
  <c r="N75" i="4"/>
  <c r="J77" i="4"/>
  <c r="J81" i="4" s="1"/>
  <c r="K77" i="4"/>
  <c r="L77" i="4"/>
  <c r="M77" i="4"/>
  <c r="N77" i="4"/>
  <c r="N81" i="4" s="1"/>
  <c r="J79" i="4"/>
  <c r="K79" i="4"/>
  <c r="L79" i="4"/>
  <c r="M79" i="4"/>
  <c r="M81" i="4" s="1"/>
  <c r="N79" i="4"/>
  <c r="K95" i="4"/>
  <c r="K57" i="4" s="1"/>
  <c r="J96" i="4"/>
  <c r="K96" i="4"/>
  <c r="L96" i="4"/>
  <c r="M96" i="4"/>
  <c r="N96" i="4"/>
  <c r="J97" i="4"/>
  <c r="K97" i="4"/>
  <c r="L97" i="4"/>
  <c r="M97" i="4"/>
  <c r="N97" i="4"/>
  <c r="J98" i="4"/>
  <c r="K98" i="4"/>
  <c r="L98" i="4"/>
  <c r="M98" i="4"/>
  <c r="N98" i="4"/>
  <c r="J99" i="4"/>
  <c r="K99" i="4"/>
  <c r="L99" i="4"/>
  <c r="M99" i="4"/>
  <c r="N99" i="4"/>
  <c r="J100" i="4"/>
  <c r="K100" i="4"/>
  <c r="L100" i="4"/>
  <c r="M100" i="4"/>
  <c r="N100" i="4"/>
  <c r="J101" i="4"/>
  <c r="K101" i="4"/>
  <c r="L101" i="4"/>
  <c r="M101" i="4"/>
  <c r="N101" i="4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I10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I51" i="3"/>
  <c r="K51" i="3" s="1"/>
  <c r="J51" i="3"/>
  <c r="L51" i="3"/>
  <c r="M51" i="3"/>
  <c r="N51" i="3"/>
  <c r="J52" i="3"/>
  <c r="K52" i="3"/>
  <c r="K56" i="3" s="1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L56" i="3"/>
  <c r="O56" i="3"/>
  <c r="L58" i="3"/>
  <c r="N58" i="3" s="1"/>
  <c r="B36" i="2" s="1"/>
  <c r="M60" i="3"/>
  <c r="J66" i="3"/>
  <c r="K66" i="3"/>
  <c r="L66" i="3"/>
  <c r="N130" i="1" s="1"/>
  <c r="L130" i="1" s="1"/>
  <c r="M66" i="3"/>
  <c r="N66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L77" i="3"/>
  <c r="N128" i="1" s="1"/>
  <c r="L128" i="1" s="1"/>
  <c r="M77" i="3"/>
  <c r="J90" i="3"/>
  <c r="K90" i="3"/>
  <c r="M90" i="3"/>
  <c r="N90" i="3"/>
  <c r="J91" i="3"/>
  <c r="K91" i="3"/>
  <c r="M91" i="3"/>
  <c r="N91" i="3"/>
  <c r="J92" i="3"/>
  <c r="J93" i="3" s="1"/>
  <c r="K92" i="3"/>
  <c r="L92" i="3"/>
  <c r="L93" i="3" s="1"/>
  <c r="L94" i="3" s="1"/>
  <c r="M92" i="3"/>
  <c r="M93" i="3" s="1"/>
  <c r="M94" i="3" s="1"/>
  <c r="K93" i="3"/>
  <c r="J94" i="3"/>
  <c r="K94" i="3"/>
  <c r="M73" i="4" l="1"/>
  <c r="M83" i="4" s="1"/>
  <c r="A31" i="4"/>
  <c r="A30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9" i="4" s="1"/>
  <c r="A53" i="4" s="1"/>
  <c r="L67" i="4"/>
  <c r="L73" i="4" s="1"/>
  <c r="L83" i="4" s="1"/>
  <c r="L65" i="4"/>
  <c r="L95" i="4"/>
  <c r="L57" i="4" s="1"/>
  <c r="L93" i="4" s="1"/>
  <c r="B38" i="2" s="1"/>
  <c r="N92" i="3"/>
  <c r="N93" i="3" s="1"/>
  <c r="N94" i="3" s="1"/>
  <c r="BW104" i="5"/>
  <c r="BW115" i="5" s="1"/>
  <c r="BL135" i="5" s="1"/>
  <c r="AV104" i="5"/>
  <c r="BM14" i="5"/>
  <c r="BB13" i="5"/>
  <c r="J30" i="1"/>
  <c r="AA31" i="1"/>
  <c r="K47" i="4"/>
  <c r="K59" i="4" s="1"/>
  <c r="K63" i="4" s="1"/>
  <c r="K73" i="4" s="1"/>
  <c r="K83" i="4" s="1"/>
  <c r="AV111" i="5"/>
  <c r="AV107" i="5" s="1"/>
  <c r="AX111" i="5"/>
  <c r="AZ111" i="5"/>
  <c r="BK107" i="5"/>
  <c r="AX107" i="5"/>
  <c r="BQ37" i="5"/>
  <c r="BM37" i="5"/>
  <c r="BL115" i="5"/>
  <c r="AW55" i="5"/>
  <c r="AW104" i="5" s="1"/>
  <c r="AX104" i="5" s="1"/>
  <c r="AB15" i="1"/>
  <c r="AZ107" i="5"/>
  <c r="AZ132" i="5" s="1"/>
  <c r="BQ24" i="5"/>
  <c r="BM24" i="5"/>
  <c r="BP24" i="5" s="1"/>
  <c r="BQ14" i="5"/>
  <c r="AB99" i="1"/>
  <c r="M62" i="3"/>
  <c r="M64" i="3"/>
  <c r="J17" i="2"/>
  <c r="G17" i="2"/>
  <c r="N77" i="3"/>
  <c r="J77" i="3"/>
  <c r="M56" i="3"/>
  <c r="K60" i="3"/>
  <c r="L60" i="3"/>
  <c r="AZ55" i="5"/>
  <c r="BN37" i="5"/>
  <c r="AB112" i="1"/>
  <c r="N87" i="1"/>
  <c r="K88" i="1"/>
  <c r="L87" i="1" s="1"/>
  <c r="AB87" i="1" s="1"/>
  <c r="AA61" i="1"/>
  <c r="W57" i="1"/>
  <c r="W30" i="1" s="1"/>
  <c r="AB61" i="1"/>
  <c r="J47" i="4"/>
  <c r="J59" i="4" s="1"/>
  <c r="J63" i="4" s="1"/>
  <c r="AV116" i="5"/>
  <c r="BI55" i="5"/>
  <c r="BI29" i="5" s="1"/>
  <c r="AV55" i="5"/>
  <c r="AV137" i="5" s="1"/>
  <c r="BQ43" i="5"/>
  <c r="BM43" i="5"/>
  <c r="BP43" i="5" s="1"/>
  <c r="AV29" i="5"/>
  <c r="AX13" i="5"/>
  <c r="AA116" i="1"/>
  <c r="AB91" i="1"/>
  <c r="K77" i="3"/>
  <c r="J128" i="1" s="1"/>
  <c r="N56" i="3"/>
  <c r="N60" i="3"/>
  <c r="J56" i="3"/>
  <c r="M65" i="4"/>
  <c r="M95" i="4"/>
  <c r="M57" i="4" s="1"/>
  <c r="N55" i="4"/>
  <c r="N61" i="4" s="1"/>
  <c r="J55" i="4"/>
  <c r="J61" i="4" s="1"/>
  <c r="BK55" i="5"/>
  <c r="BJ55" i="5" s="1"/>
  <c r="AX55" i="5"/>
  <c r="AX137" i="5" s="1"/>
  <c r="BA55" i="5"/>
  <c r="BA104" i="5" s="1"/>
  <c r="BK29" i="5"/>
  <c r="BK4" i="5" s="1"/>
  <c r="AX29" i="5"/>
  <c r="AX132" i="5" s="1"/>
  <c r="BB29" i="5"/>
  <c r="BB132" i="5" s="1"/>
  <c r="BI13" i="5"/>
  <c r="AV13" i="5"/>
  <c r="N74" i="1"/>
  <c r="K74" i="1"/>
  <c r="L74" i="1" s="1"/>
  <c r="AB74" i="1" s="1"/>
  <c r="BB55" i="5"/>
  <c r="O20" i="2"/>
  <c r="AA113" i="1"/>
  <c r="N110" i="1"/>
  <c r="N109" i="1" s="1"/>
  <c r="K110" i="1"/>
  <c r="L110" i="1" s="1"/>
  <c r="N104" i="1"/>
  <c r="K104" i="1"/>
  <c r="L104" i="1" s="1"/>
  <c r="AB104" i="1" s="1"/>
  <c r="AA100" i="1"/>
  <c r="N96" i="1"/>
  <c r="K96" i="1"/>
  <c r="L96" i="1" s="1"/>
  <c r="AB96" i="1" s="1"/>
  <c r="AA92" i="1"/>
  <c r="N86" i="1"/>
  <c r="K86" i="1"/>
  <c r="L86" i="1" s="1"/>
  <c r="AB86" i="1" s="1"/>
  <c r="AA81" i="1"/>
  <c r="N70" i="1"/>
  <c r="K70" i="1"/>
  <c r="L70" i="1" s="1"/>
  <c r="AB70" i="1" s="1"/>
  <c r="AA65" i="1"/>
  <c r="BN21" i="5"/>
  <c r="W111" i="1"/>
  <c r="Y111" i="1"/>
  <c r="Y109" i="1" s="1"/>
  <c r="N105" i="1"/>
  <c r="N97" i="1"/>
  <c r="N82" i="1"/>
  <c r="K82" i="1"/>
  <c r="L82" i="1" s="1"/>
  <c r="AB82" i="1" s="1"/>
  <c r="AA77" i="1"/>
  <c r="N66" i="1"/>
  <c r="K66" i="1"/>
  <c r="L66" i="1" s="1"/>
  <c r="AB66" i="1" s="1"/>
  <c r="P30" i="1"/>
  <c r="C17" i="2" s="1"/>
  <c r="K29" i="1"/>
  <c r="AB29" i="1"/>
  <c r="J109" i="1"/>
  <c r="AA104" i="1"/>
  <c r="N100" i="1"/>
  <c r="K100" i="1"/>
  <c r="L100" i="1" s="1"/>
  <c r="AB100" i="1" s="1"/>
  <c r="AA96" i="1"/>
  <c r="N92" i="1"/>
  <c r="K92" i="1"/>
  <c r="L92" i="1" s="1"/>
  <c r="AB92" i="1" s="1"/>
  <c r="N78" i="1"/>
  <c r="K78" i="1"/>
  <c r="L78" i="1" s="1"/>
  <c r="AB78" i="1" s="1"/>
  <c r="AA73" i="1"/>
  <c r="AA59" i="1"/>
  <c r="P57" i="1"/>
  <c r="K85" i="1"/>
  <c r="L85" i="1" s="1"/>
  <c r="AB85" i="1" s="1"/>
  <c r="K81" i="1"/>
  <c r="L81" i="1" s="1"/>
  <c r="AB81" i="1" s="1"/>
  <c r="K77" i="1"/>
  <c r="L77" i="1" s="1"/>
  <c r="AB77" i="1" s="1"/>
  <c r="K73" i="1"/>
  <c r="L73" i="1" s="1"/>
  <c r="AB73" i="1" s="1"/>
  <c r="K69" i="1"/>
  <c r="L69" i="1" s="1"/>
  <c r="AB69" i="1" s="1"/>
  <c r="K65" i="1"/>
  <c r="L65" i="1" s="1"/>
  <c r="AB65" i="1" s="1"/>
  <c r="K62" i="1"/>
  <c r="L62" i="1" s="1"/>
  <c r="AB62" i="1" s="1"/>
  <c r="N62" i="1"/>
  <c r="K58" i="1"/>
  <c r="L58" i="1" s="1"/>
  <c r="AB58" i="1" s="1"/>
  <c r="N58" i="1"/>
  <c r="AB53" i="1"/>
  <c r="AB48" i="1"/>
  <c r="AB44" i="1"/>
  <c r="AB40" i="1"/>
  <c r="AB37" i="1"/>
  <c r="I29" i="1"/>
  <c r="L10" i="2" s="1"/>
  <c r="Y23" i="1"/>
  <c r="J14" i="1"/>
  <c r="AA15" i="1"/>
  <c r="Y57" i="1"/>
  <c r="I57" i="1"/>
  <c r="AA58" i="1"/>
  <c r="K54" i="1"/>
  <c r="L54" i="1" s="1"/>
  <c r="AB54" i="1" s="1"/>
  <c r="N54" i="1"/>
  <c r="K49" i="1"/>
  <c r="L49" i="1" s="1"/>
  <c r="AB49" i="1" s="1"/>
  <c r="N49" i="1"/>
  <c r="K45" i="1"/>
  <c r="L45" i="1" s="1"/>
  <c r="AB45" i="1" s="1"/>
  <c r="N45" i="1"/>
  <c r="K41" i="1"/>
  <c r="L41" i="1" s="1"/>
  <c r="AB41" i="1" s="1"/>
  <c r="N41" i="1"/>
  <c r="K38" i="1"/>
  <c r="L38" i="1" s="1"/>
  <c r="AB38" i="1" s="1"/>
  <c r="N38" i="1"/>
  <c r="AB33" i="1"/>
  <c r="AA25" i="1"/>
  <c r="J23" i="1"/>
  <c r="J126" i="1" s="1"/>
  <c r="L23" i="1"/>
  <c r="V57" i="1"/>
  <c r="K34" i="1"/>
  <c r="L34" i="1" s="1"/>
  <c r="AB34" i="1" s="1"/>
  <c r="N34" i="1"/>
  <c r="N30" i="1" s="1"/>
  <c r="AB31" i="1"/>
  <c r="K26" i="1"/>
  <c r="L26" i="1" s="1"/>
  <c r="AB26" i="1" s="1"/>
  <c r="N26" i="1"/>
  <c r="N23" i="1" s="1"/>
  <c r="N14" i="1"/>
  <c r="O57" i="1"/>
  <c r="C18" i="2" s="1"/>
  <c r="N11" i="1"/>
  <c r="N7" i="1"/>
  <c r="K21" i="1"/>
  <c r="L21" i="1" s="1"/>
  <c r="AB21" i="1" s="1"/>
  <c r="K17" i="1"/>
  <c r="L17" i="1" s="1"/>
  <c r="AB17" i="1" s="1"/>
  <c r="AA16" i="1"/>
  <c r="K25" i="1"/>
  <c r="L25" i="1" s="1"/>
  <c r="AB25" i="1" s="1"/>
  <c r="N126" i="1" l="1"/>
  <c r="BB135" i="5"/>
  <c r="BB139" i="5" s="1"/>
  <c r="BB133" i="5"/>
  <c r="BB142" i="5" s="1"/>
  <c r="K85" i="4"/>
  <c r="K89" i="4" s="1"/>
  <c r="Y5" i="1"/>
  <c r="AX135" i="5"/>
  <c r="AX133" i="5"/>
  <c r="AX139" i="5"/>
  <c r="AX142" i="5" s="1"/>
  <c r="AZ139" i="5"/>
  <c r="AZ142" i="5"/>
  <c r="AZ135" i="5"/>
  <c r="AZ133" i="5"/>
  <c r="N65" i="4"/>
  <c r="N67" i="4"/>
  <c r="N95" i="4"/>
  <c r="N57" i="4" s="1"/>
  <c r="BL127" i="5"/>
  <c r="BM127" i="5" s="1"/>
  <c r="L85" i="4"/>
  <c r="L87" i="4" s="1"/>
  <c r="L30" i="1"/>
  <c r="L126" i="1" s="1"/>
  <c r="E18" i="2"/>
  <c r="E26" i="2" s="1"/>
  <c r="N18" i="2"/>
  <c r="Z57" i="1"/>
  <c r="X57" i="1"/>
  <c r="BQ115" i="5"/>
  <c r="BL134" i="5" s="1"/>
  <c r="BM134" i="5" s="1"/>
  <c r="AH12" i="5" s="1"/>
  <c r="BM115" i="5"/>
  <c r="Y30" i="1"/>
  <c r="P5" i="1"/>
  <c r="BN115" i="5"/>
  <c r="BL129" i="5" s="1"/>
  <c r="BM129" i="5" s="1"/>
  <c r="AH11" i="5" s="1"/>
  <c r="AZ4" i="5"/>
  <c r="C15" i="2"/>
  <c r="C24" i="2" s="1"/>
  <c r="C28" i="2"/>
  <c r="C31" i="2" s="1"/>
  <c r="D17" i="2"/>
  <c r="L109" i="1"/>
  <c r="AB110" i="1"/>
  <c r="BI4" i="5"/>
  <c r="N64" i="3"/>
  <c r="N67" i="3" s="1"/>
  <c r="N79" i="3" s="1"/>
  <c r="N81" i="3" s="1"/>
  <c r="N62" i="3"/>
  <c r="K62" i="3"/>
  <c r="K64" i="3"/>
  <c r="J129" i="1" s="1"/>
  <c r="K67" i="3"/>
  <c r="K79" i="3" s="1"/>
  <c r="K81" i="3" s="1"/>
  <c r="BB4" i="5"/>
  <c r="A50" i="4"/>
  <c r="A97" i="4"/>
  <c r="W109" i="1"/>
  <c r="W5" i="1" s="1"/>
  <c r="AA111" i="1"/>
  <c r="AB111" i="1"/>
  <c r="AX4" i="5"/>
  <c r="M85" i="4"/>
  <c r="M89" i="4" s="1"/>
  <c r="M87" i="4"/>
  <c r="AV4" i="5"/>
  <c r="BL126" i="5" s="1"/>
  <c r="J65" i="4"/>
  <c r="J67" i="4"/>
  <c r="J73" i="4" s="1"/>
  <c r="J83" i="4" s="1"/>
  <c r="J95" i="4"/>
  <c r="J64" i="3"/>
  <c r="AV132" i="5"/>
  <c r="L64" i="3"/>
  <c r="N129" i="1" s="1"/>
  <c r="L129" i="1" s="1"/>
  <c r="L62" i="3"/>
  <c r="L67" i="3"/>
  <c r="L79" i="3" s="1"/>
  <c r="L81" i="3" s="1"/>
  <c r="M67" i="3"/>
  <c r="M79" i="3" s="1"/>
  <c r="M81" i="3" s="1"/>
  <c r="M88" i="3" s="1"/>
  <c r="BP115" i="5"/>
  <c r="BL131" i="5" s="1"/>
  <c r="BM131" i="5" s="1"/>
  <c r="AH13" i="5" s="1"/>
  <c r="L14" i="1"/>
  <c r="E17" i="2" l="1"/>
  <c r="N17" i="2"/>
  <c r="L91" i="4"/>
  <c r="L90" i="4" s="1"/>
  <c r="L83" i="3"/>
  <c r="L85" i="3" s="1"/>
  <c r="L96" i="3" s="1"/>
  <c r="L100" i="3" s="1"/>
  <c r="N133" i="1"/>
  <c r="L133" i="1" s="1"/>
  <c r="J87" i="3"/>
  <c r="J88" i="3"/>
  <c r="J133" i="1"/>
  <c r="L89" i="4"/>
  <c r="BM136" i="5"/>
  <c r="AH6" i="5"/>
  <c r="AH18" i="5" s="1"/>
  <c r="J67" i="3"/>
  <c r="J79" i="3" s="1"/>
  <c r="J81" i="3" s="1"/>
  <c r="BL136" i="5"/>
  <c r="BL138" i="5" s="1"/>
  <c r="J127" i="1"/>
  <c r="K87" i="3"/>
  <c r="K88" i="3"/>
  <c r="L86" i="4"/>
  <c r="L92" i="4" s="1"/>
  <c r="BL117" i="5"/>
  <c r="K87" i="4"/>
  <c r="J85" i="4"/>
  <c r="J89" i="4" s="1"/>
  <c r="M83" i="3"/>
  <c r="M85" i="3" s="1"/>
  <c r="M96" i="3" s="1"/>
  <c r="M100" i="3" s="1"/>
  <c r="M91" i="4"/>
  <c r="L88" i="3"/>
  <c r="N127" i="1"/>
  <c r="L87" i="3"/>
  <c r="M87" i="3"/>
  <c r="AV133" i="5"/>
  <c r="AV135" i="5"/>
  <c r="AV139" i="5"/>
  <c r="AV142" i="5"/>
  <c r="J118" i="1"/>
  <c r="J57" i="4"/>
  <c r="N87" i="3"/>
  <c r="N88" i="3"/>
  <c r="N73" i="4"/>
  <c r="N83" i="4" s="1"/>
  <c r="N28" i="2" l="1"/>
  <c r="N31" i="2" s="1"/>
  <c r="N15" i="2"/>
  <c r="N24" i="2" s="1"/>
  <c r="O17" i="2"/>
  <c r="E28" i="2"/>
  <c r="E31" i="2" s="1"/>
  <c r="E15" i="2"/>
  <c r="E24" i="2" s="1"/>
  <c r="F17" i="2"/>
  <c r="J22" i="2"/>
  <c r="L86" i="3"/>
  <c r="G22" i="2"/>
  <c r="J87" i="4"/>
  <c r="J146" i="1"/>
  <c r="L22" i="2" s="1"/>
  <c r="M57" i="1"/>
  <c r="K57" i="1"/>
  <c r="N139" i="1"/>
  <c r="N118" i="1"/>
  <c r="N131" i="1"/>
  <c r="G18" i="2"/>
  <c r="J18" i="2"/>
  <c r="J21" i="2"/>
  <c r="G21" i="2"/>
  <c r="N85" i="4"/>
  <c r="N89" i="4" s="1"/>
  <c r="J139" i="1"/>
  <c r="L18" i="2"/>
  <c r="L127" i="1"/>
  <c r="N146" i="1"/>
  <c r="K91" i="4"/>
  <c r="K83" i="3"/>
  <c r="L131" i="1" l="1"/>
  <c r="N136" i="1"/>
  <c r="N140" i="1" s="1"/>
  <c r="J28" i="2"/>
  <c r="K17" i="2"/>
  <c r="J15" i="2"/>
  <c r="J24" i="2" s="1"/>
  <c r="J91" i="4"/>
  <c r="I106" i="1" s="1"/>
  <c r="J106" i="1" s="1"/>
  <c r="J83" i="3"/>
  <c r="J85" i="3" s="1"/>
  <c r="J96" i="3" s="1"/>
  <c r="J100" i="3" s="1"/>
  <c r="G30" i="2"/>
  <c r="H20" i="2"/>
  <c r="K20" i="2"/>
  <c r="J30" i="2"/>
  <c r="L118" i="1"/>
  <c r="L136" i="1"/>
  <c r="J131" i="1"/>
  <c r="K85" i="3"/>
  <c r="K96" i="3" s="1"/>
  <c r="K100" i="3" s="1"/>
  <c r="N87" i="4"/>
  <c r="G26" i="2"/>
  <c r="H17" i="2"/>
  <c r="G28" i="2"/>
  <c r="G31" i="2" s="1"/>
  <c r="G15" i="2"/>
  <c r="G24" i="2" s="1"/>
  <c r="L21" i="2" l="1"/>
  <c r="J145" i="1"/>
  <c r="J57" i="1"/>
  <c r="J5" i="1" s="1"/>
  <c r="L17" i="2" s="1"/>
  <c r="N91" i="4"/>
  <c r="M106" i="1" s="1"/>
  <c r="N83" i="3"/>
  <c r="N85" i="3" s="1"/>
  <c r="N96" i="3" s="1"/>
  <c r="N100" i="3" s="1"/>
  <c r="J143" i="1"/>
  <c r="J147" i="1" s="1"/>
  <c r="J136" i="1"/>
  <c r="J140" i="1" s="1"/>
  <c r="J31" i="2"/>
  <c r="L140" i="1"/>
  <c r="L139" i="1"/>
  <c r="L146" i="1"/>
  <c r="L15" i="2" l="1"/>
  <c r="L24" i="2" s="1"/>
  <c r="M17" i="2"/>
  <c r="L28" i="2"/>
  <c r="N106" i="1"/>
  <c r="K106" i="1"/>
  <c r="L106" i="1" s="1"/>
  <c r="M20" i="2"/>
  <c r="L30" i="2"/>
  <c r="N145" i="1" l="1"/>
  <c r="N57" i="1"/>
  <c r="N5" i="1" s="1"/>
  <c r="N143" i="1"/>
  <c r="N147" i="1" s="1"/>
  <c r="L31" i="2"/>
  <c r="L145" i="1"/>
  <c r="L57" i="1"/>
  <c r="L5" i="1" s="1"/>
  <c r="L143" i="1"/>
  <c r="L147" i="1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O38" authorId="0" shapeId="0">
      <text>
        <r>
          <rPr>
            <sz val="8"/>
            <color indexed="81"/>
            <rFont val="Tahoma"/>
          </rPr>
          <t xml:space="preserve">Starting Q3FY98 Cost will be $7.59
</t>
        </r>
      </text>
    </comment>
    <comment ref="O40" authorId="0" shapeId="0">
      <text>
        <r>
          <rPr>
            <sz val="8"/>
            <color indexed="81"/>
            <rFont val="Tahoma"/>
          </rPr>
          <t>Swith to Tenere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L60" authorId="0" shapeId="0">
      <text>
        <r>
          <rPr>
            <sz val="8"/>
            <color indexed="81"/>
            <rFont val="Tahoma"/>
          </rPr>
          <t>-$6.22 (Carriage Cost Fcst), if SCI cost = $53.84
and Not Carriage Consignment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H11" authorId="0" shapeId="0">
      <text>
        <r>
          <rPr>
            <sz val="8"/>
            <color indexed="81"/>
            <rFont val="Tahoma"/>
          </rPr>
          <t xml:space="preserve">Q3FY98
</t>
        </r>
      </text>
    </comment>
    <comment ref="BA37" authorId="0" shapeId="0">
      <text>
        <r>
          <rPr>
            <sz val="8"/>
            <color indexed="81"/>
            <rFont val="Tahoma"/>
          </rPr>
          <t xml:space="preserve">Starting Q3FY98 Cost will be $7.59
</t>
        </r>
      </text>
    </comment>
    <comment ref="BA39" authorId="0" shapeId="0">
      <text>
        <r>
          <rPr>
            <sz val="8"/>
            <color indexed="81"/>
            <rFont val="Tahoma"/>
          </rPr>
          <t>Swith to Tenere</t>
        </r>
      </text>
    </comment>
  </commentList>
</comments>
</file>

<file path=xl/sharedStrings.xml><?xml version="1.0" encoding="utf-8"?>
<sst xmlns="http://schemas.openxmlformats.org/spreadsheetml/2006/main" count="1183" uniqueCount="547">
  <si>
    <t>GMO</t>
  </si>
  <si>
    <t>Revised Quotation (80K)</t>
  </si>
  <si>
    <t>SCI Quotation</t>
  </si>
  <si>
    <t>90K/mo@90% Conf</t>
  </si>
  <si>
    <t>AHMO</t>
  </si>
  <si>
    <t>Current @50K</t>
  </si>
  <si>
    <t>Corrected</t>
  </si>
  <si>
    <t>(80K/mo)</t>
  </si>
  <si>
    <t>Q4(90K/mo)</t>
  </si>
  <si>
    <t>DM Diff</t>
  </si>
  <si>
    <t>PART NUMBER</t>
  </si>
  <si>
    <t>DESCRIPTION</t>
  </si>
  <si>
    <t>supplier</t>
  </si>
  <si>
    <t>Qty:</t>
  </si>
  <si>
    <t>Unit:</t>
  </si>
  <si>
    <t>Extended:</t>
  </si>
  <si>
    <t>SEP CURRENT</t>
  </si>
  <si>
    <t>C5110A</t>
  </si>
  <si>
    <t>DOMINO</t>
  </si>
  <si>
    <t>300 DPI SCANNER</t>
  </si>
  <si>
    <t>Curr vs Curr</t>
  </si>
  <si>
    <t>Rev vs Curr</t>
  </si>
  <si>
    <t>0624-0794</t>
  </si>
  <si>
    <t>SCREW, 6-32 TT</t>
  </si>
  <si>
    <t>Medalist</t>
  </si>
  <si>
    <t>2360-0579</t>
  </si>
  <si>
    <t>SCR 6/32X.321TAPTITE</t>
  </si>
  <si>
    <t>Elco</t>
  </si>
  <si>
    <t>C2517-06000</t>
  </si>
  <si>
    <t>TENSION SPRING</t>
  </si>
  <si>
    <t>SPI</t>
  </si>
  <si>
    <t>C5110-00602</t>
  </si>
  <si>
    <t>REAR COVER</t>
  </si>
  <si>
    <t>Progresive Tools</t>
  </si>
  <si>
    <t>SSS</t>
  </si>
  <si>
    <t>C5110-00603</t>
  </si>
  <si>
    <t>SHIELD-CNTRL PCA</t>
  </si>
  <si>
    <t>Allied</t>
  </si>
  <si>
    <t>ALLIED</t>
  </si>
  <si>
    <t>C5110-43603</t>
  </si>
  <si>
    <t>IDELER PULLEY</t>
  </si>
  <si>
    <t>UNIVAC</t>
  </si>
  <si>
    <t>C5110-43800</t>
  </si>
  <si>
    <t>DRIVE BELT</t>
  </si>
  <si>
    <t>Chemiflex</t>
  </si>
  <si>
    <t>C5110-67901</t>
  </si>
  <si>
    <t>Top Cover Assy</t>
  </si>
  <si>
    <t>C5110-40609</t>
  </si>
  <si>
    <t>TOP CVR MOLDING</t>
  </si>
  <si>
    <t>SPM</t>
  </si>
  <si>
    <t>Fuyu</t>
  </si>
  <si>
    <t>C5110-87704</t>
  </si>
  <si>
    <t>PLATEN GALSS</t>
  </si>
  <si>
    <t>Wangi</t>
  </si>
  <si>
    <t>C5110-49300</t>
  </si>
  <si>
    <t>LIGHT PIPE</t>
  </si>
  <si>
    <t>C5110-47400</t>
  </si>
  <si>
    <t>KEYCAP-GO BUTTON</t>
  </si>
  <si>
    <t>Newtech</t>
  </si>
  <si>
    <t>C5110-41205</t>
  </si>
  <si>
    <t>RETAINER CARRIER</t>
  </si>
  <si>
    <t>C2517-48300</t>
  </si>
  <si>
    <t>GLASS RETAINER</t>
  </si>
  <si>
    <t>Plasco</t>
  </si>
  <si>
    <t>??</t>
  </si>
  <si>
    <t>C5110-84303</t>
  </si>
  <si>
    <t>REF. MARK LABEL</t>
  </si>
  <si>
    <t>HILLIER</t>
  </si>
  <si>
    <t>C2517-84301</t>
  </si>
  <si>
    <t>CORNER MARK LBL</t>
  </si>
  <si>
    <t>GMNameplate</t>
  </si>
  <si>
    <t>C5110-67902</t>
  </si>
  <si>
    <t>Doc Lid Assy</t>
  </si>
  <si>
    <t>C5110-45001</t>
  </si>
  <si>
    <t>DOC LID HINGE</t>
  </si>
  <si>
    <t>C5110-40607</t>
  </si>
  <si>
    <t>DOCUMENT LID</t>
  </si>
  <si>
    <t>C5110-84420</t>
  </si>
  <si>
    <t>TOP COVER SHEET</t>
  </si>
  <si>
    <t>C5110-40200</t>
  </si>
  <si>
    <t>REFLECTOR</t>
  </si>
  <si>
    <t>KANSAI</t>
  </si>
  <si>
    <t>C5110-84302</t>
  </si>
  <si>
    <t>PRODUCT LABEL</t>
  </si>
  <si>
    <t>GM Name</t>
  </si>
  <si>
    <t>C5110-67903</t>
  </si>
  <si>
    <t>Carriage Assy</t>
  </si>
  <si>
    <t>C5110-67905</t>
  </si>
  <si>
    <t>Base Assy</t>
  </si>
  <si>
    <t>0950-3065</t>
  </si>
  <si>
    <t>POWER SUPPLY</t>
  </si>
  <si>
    <t>YEC</t>
  </si>
  <si>
    <t>2940-0300</t>
  </si>
  <si>
    <t>SCR-4/40X.25HEX</t>
  </si>
  <si>
    <t>1200-2007</t>
  </si>
  <si>
    <t>CLIP -LED  T1-3/4</t>
  </si>
  <si>
    <t>Lumex</t>
  </si>
  <si>
    <t>6040-0945</t>
  </si>
  <si>
    <t>9170-1618</t>
  </si>
  <si>
    <t>ENCL-SPL-SHLD-BD</t>
  </si>
  <si>
    <t>Steward</t>
  </si>
  <si>
    <t>C2517-80602</t>
  </si>
  <si>
    <t>DBL-SIDED TAPE</t>
  </si>
  <si>
    <t>C5110-00100</t>
  </si>
  <si>
    <t>BASE</t>
  </si>
  <si>
    <t>C5110-23700</t>
  </si>
  <si>
    <t>IDLER SHAFT</t>
  </si>
  <si>
    <t>C5110-00600</t>
  </si>
  <si>
    <t>SHIELD-PWR SPLY</t>
  </si>
  <si>
    <t>C5110-40201</t>
  </si>
  <si>
    <t>SHEET-INSULTING</t>
  </si>
  <si>
    <t>C5110-40604</t>
  </si>
  <si>
    <t>TRIM SKIRT RIGHT</t>
  </si>
  <si>
    <t>LIXIN</t>
  </si>
  <si>
    <t>C5110-40605</t>
  </si>
  <si>
    <t>TRIM SKIRT LEFT</t>
  </si>
  <si>
    <t>C5110-40606</t>
  </si>
  <si>
    <t>TRIM SKIRT FRONT</t>
  </si>
  <si>
    <t>C5110-41202</t>
  </si>
  <si>
    <t>FRONT GROMMET</t>
  </si>
  <si>
    <t>DaPro</t>
  </si>
  <si>
    <t>C5110-41203</t>
  </si>
  <si>
    <t>REAR GROMMET</t>
  </si>
  <si>
    <t>C5110-41204</t>
  </si>
  <si>
    <t>SHOULDER SCREW</t>
  </si>
  <si>
    <t>ELCO</t>
  </si>
  <si>
    <t>C5110-45000</t>
  </si>
  <si>
    <t>CARRIAGE LATCH</t>
  </si>
  <si>
    <t>LI XIN</t>
  </si>
  <si>
    <t>C5110-61602</t>
  </si>
  <si>
    <t>CABLE-LED</t>
  </si>
  <si>
    <t>MEC</t>
  </si>
  <si>
    <t>1400-1015</t>
  </si>
  <si>
    <t>CABLE-TIE</t>
  </si>
  <si>
    <t>1990-0995</t>
  </si>
  <si>
    <t>LED -LMP</t>
  </si>
  <si>
    <t>C5110-41200</t>
  </si>
  <si>
    <t>BRACKET-SWITCH</t>
  </si>
  <si>
    <t>C5110-61603</t>
  </si>
  <si>
    <t>CABLE-PS AND CTL</t>
  </si>
  <si>
    <t>C5110-84307</t>
  </si>
  <si>
    <t>FOOT-RUBBER</t>
  </si>
  <si>
    <t>C5110-85300</t>
  </si>
  <si>
    <t>STEPPER MOTOR</t>
  </si>
  <si>
    <t>SKC</t>
  </si>
  <si>
    <t>Labor</t>
  </si>
  <si>
    <t>***</t>
  </si>
  <si>
    <t>C5110-66503</t>
  </si>
  <si>
    <t>Contoller Board</t>
  </si>
  <si>
    <t>0160-5945</t>
  </si>
  <si>
    <t>C-F .01UF 10%X7R</t>
  </si>
  <si>
    <t>TDK</t>
  </si>
  <si>
    <t>0160-5946</t>
  </si>
  <si>
    <t>CAP 330PF 50V</t>
  </si>
  <si>
    <t>0160-5957</t>
  </si>
  <si>
    <t>C-F 47PF</t>
  </si>
  <si>
    <t>0160-5962</t>
  </si>
  <si>
    <t>C-F 15PF 5%</t>
  </si>
  <si>
    <t>0160-5967</t>
  </si>
  <si>
    <t>CAP 100PF 5% 50V</t>
  </si>
  <si>
    <t>0160-6444</t>
  </si>
  <si>
    <t>CAP 0.022uF 50V</t>
  </si>
  <si>
    <t>KEMET</t>
  </si>
  <si>
    <t>0160-7798</t>
  </si>
  <si>
    <t>CAP 0.1uF 50V</t>
  </si>
  <si>
    <t>0180-4287</t>
  </si>
  <si>
    <t>C-F 10uF 35V 20%</t>
  </si>
  <si>
    <t xml:space="preserve"> </t>
  </si>
  <si>
    <t>0180-4116</t>
  </si>
  <si>
    <t>CAP 47UF 20V</t>
  </si>
  <si>
    <t>0410-4265</t>
  </si>
  <si>
    <t>36.000 MHZ XTAL</t>
  </si>
  <si>
    <t>KDS/KSS</t>
  </si>
  <si>
    <t>0699-2643</t>
  </si>
  <si>
    <t>RES 0 5% .1W TKF</t>
  </si>
  <si>
    <t>VISHAY</t>
  </si>
  <si>
    <t>0699-2963</t>
  </si>
  <si>
    <t>RES 121 1% .1W</t>
  </si>
  <si>
    <t>ROHM</t>
  </si>
  <si>
    <t>0699-2973</t>
  </si>
  <si>
    <t>RES 215 1% .1W</t>
  </si>
  <si>
    <t>0699-2981</t>
  </si>
  <si>
    <t>RES 1.78K 1% .1W</t>
  </si>
  <si>
    <t>0699-2986</t>
  </si>
  <si>
    <t>RES 21.5K 1% .1W</t>
  </si>
  <si>
    <t>0699-3027</t>
  </si>
  <si>
    <t>RES 196 1% .1W</t>
  </si>
  <si>
    <t>Philips</t>
  </si>
  <si>
    <t>0699-3034</t>
  </si>
  <si>
    <t>RES 1K 1% .1W</t>
  </si>
  <si>
    <t>0699-3045</t>
  </si>
  <si>
    <t>RES 5.11K 1% .1W</t>
  </si>
  <si>
    <t>0699-3051</t>
  </si>
  <si>
    <t>RES 10K 1% .1W</t>
  </si>
  <si>
    <t>0699-3053</t>
  </si>
  <si>
    <t>RES 100K 1% .1W</t>
  </si>
  <si>
    <t>0699-3058</t>
  </si>
  <si>
    <t>RES 100 1% .1W</t>
  </si>
  <si>
    <t>0699-3077</t>
  </si>
  <si>
    <t>RES 1M 1% .1W</t>
  </si>
  <si>
    <t>0699-3831</t>
  </si>
  <si>
    <t>RES 46.4 1% .1W</t>
  </si>
  <si>
    <t>1200-1593</t>
  </si>
  <si>
    <t>SKT -IC-CHP-CARR</t>
  </si>
  <si>
    <t>AMP</t>
  </si>
  <si>
    <t>1251-8823</t>
  </si>
  <si>
    <t>CONN-POST-TP-PST</t>
  </si>
  <si>
    <t>3M</t>
  </si>
  <si>
    <t>1252-3935</t>
  </si>
  <si>
    <t>CONN-8-PIN F</t>
  </si>
  <si>
    <t>1252-6612</t>
  </si>
  <si>
    <t>MOLEX</t>
  </si>
  <si>
    <t>C2517-10000</t>
  </si>
  <si>
    <t>SRAM-8kx8</t>
  </si>
  <si>
    <t>IDT</t>
  </si>
  <si>
    <t>1818-6871</t>
  </si>
  <si>
    <t>DRAM  256Kx 16</t>
  </si>
  <si>
    <t>NEC/Hita</t>
  </si>
  <si>
    <t>C5110-19001</t>
  </si>
  <si>
    <t>FIRMWARE ASSY</t>
  </si>
  <si>
    <t xml:space="preserve">        1818-5681</t>
  </si>
  <si>
    <t>IC OTP</t>
  </si>
  <si>
    <t>TI</t>
  </si>
  <si>
    <t>1820-5219</t>
  </si>
  <si>
    <t>IC-74F373D</t>
  </si>
  <si>
    <t>PHILIPS</t>
  </si>
  <si>
    <t>1821-1256</t>
  </si>
  <si>
    <t>IC-68HC11</t>
  </si>
  <si>
    <t>MOTO</t>
  </si>
  <si>
    <t>1821-1872</t>
  </si>
  <si>
    <t>SCAN  CNTRL CHIP</t>
  </si>
  <si>
    <t>SYMBIOS</t>
  </si>
  <si>
    <t>1854-1037</t>
  </si>
  <si>
    <t>TRANS-MMBT 3904</t>
  </si>
  <si>
    <t>NATL</t>
  </si>
  <si>
    <t>1901-1366</t>
  </si>
  <si>
    <t>DIO-MBRS340T3</t>
  </si>
  <si>
    <t>1906-0291</t>
  </si>
  <si>
    <t>DIO-DUAL 70V</t>
  </si>
  <si>
    <t>3101-3188</t>
  </si>
  <si>
    <t>SW DIP-ROTARY</t>
  </si>
  <si>
    <t>Grayhill</t>
  </si>
  <si>
    <t>1252-7812</t>
  </si>
  <si>
    <t>CONN 4 PIN</t>
  </si>
  <si>
    <t>1252-7823</t>
  </si>
  <si>
    <t>CONN-AUTOTERM</t>
  </si>
  <si>
    <t>Fujitsu</t>
  </si>
  <si>
    <t>1821-3377</t>
  </si>
  <si>
    <t>TERMINATOR</t>
  </si>
  <si>
    <t>UNTROD</t>
  </si>
  <si>
    <t>9140-1103</t>
  </si>
  <si>
    <t>L 680NH +-5%</t>
  </si>
  <si>
    <t>KOA CORP</t>
  </si>
  <si>
    <t>9140-1194</t>
  </si>
  <si>
    <t>L 10NH +-10%</t>
  </si>
  <si>
    <t>KDCL</t>
  </si>
  <si>
    <t>9140-1206</t>
  </si>
  <si>
    <t>L 100NH +-5%</t>
  </si>
  <si>
    <t>9140-1236</t>
  </si>
  <si>
    <t>L 1UH +-5%</t>
  </si>
  <si>
    <t>9140-1237</t>
  </si>
  <si>
    <t>L 4.7UH +-5%</t>
  </si>
  <si>
    <t>9170-1506</t>
  </si>
  <si>
    <t>CORE - SHIELD BEAD</t>
  </si>
  <si>
    <t>C5110-26503</t>
  </si>
  <si>
    <t>BLANK PCB-CNTL</t>
  </si>
  <si>
    <t>Hitachi</t>
  </si>
  <si>
    <t>N/A</t>
  </si>
  <si>
    <t>JIT</t>
  </si>
  <si>
    <t>C5110-84300</t>
  </si>
  <si>
    <t>Serial Label</t>
  </si>
  <si>
    <t>Adampak</t>
  </si>
  <si>
    <t>C5110-67906</t>
  </si>
  <si>
    <t>PACKAGING PARTS</t>
  </si>
  <si>
    <t>0460-2400</t>
  </si>
  <si>
    <t>TAPE-INDL .75IN</t>
  </si>
  <si>
    <t>9220-5088</t>
  </si>
  <si>
    <t>SLIPSHEET</t>
  </si>
  <si>
    <t>9222-1988</t>
  </si>
  <si>
    <t>BAG-PACKAGING</t>
  </si>
  <si>
    <t>C5110-84306</t>
  </si>
  <si>
    <t>BULK PACK LABEL</t>
  </si>
  <si>
    <t>C5110-84401</t>
  </si>
  <si>
    <t>BULK PACK TOP</t>
  </si>
  <si>
    <t>C5110-84402</t>
  </si>
  <si>
    <t>BULK PACK BTM</t>
  </si>
  <si>
    <t>C5110-84421</t>
  </si>
  <si>
    <t>LABEL THIS SIDE</t>
  </si>
  <si>
    <t>REBATE</t>
  </si>
  <si>
    <t>Price convergency w/AHMO</t>
  </si>
  <si>
    <t>Local Sourcing</t>
  </si>
  <si>
    <t>Tenere</t>
  </si>
  <si>
    <t>Top Level Mtrl Cost</t>
  </si>
  <si>
    <t xml:space="preserve">Materials Mark Up </t>
  </si>
  <si>
    <t xml:space="preserve">Labor </t>
  </si>
  <si>
    <t>/hr</t>
  </si>
  <si>
    <t>Inbound Freight</t>
  </si>
  <si>
    <t>PKG &amp; Indirect Mtrl</t>
  </si>
  <si>
    <t>PCA</t>
  </si>
  <si>
    <t>Carriage</t>
  </si>
  <si>
    <t>Profit</t>
  </si>
  <si>
    <t>SCANNER COST AS A PURCHASED PART:</t>
  </si>
  <si>
    <t>GMO Perspective</t>
  </si>
  <si>
    <t>Rebate</t>
  </si>
  <si>
    <t>Actual Purchased Cost</t>
  </si>
  <si>
    <t>Breakdown</t>
  </si>
  <si>
    <t>Direct Material</t>
  </si>
  <si>
    <t>Fujinon OH</t>
  </si>
  <si>
    <t>PCA OH</t>
  </si>
  <si>
    <t>Top Level OH</t>
  </si>
  <si>
    <t>GMO / AHMO COST COMPARISON</t>
  </si>
  <si>
    <t>Q4 Commitment</t>
  </si>
  <si>
    <t>IF Cassy$=AHMO</t>
  </si>
  <si>
    <t>Q4 Current</t>
  </si>
  <si>
    <t xml:space="preserve">AHMO </t>
  </si>
  <si>
    <t>SCI Quote @50K</t>
  </si>
  <si>
    <t>GMO(50K)</t>
  </si>
  <si>
    <t>Fujinon/AHMO OH</t>
  </si>
  <si>
    <t>Top level Assy</t>
  </si>
  <si>
    <t>Top Level DM</t>
  </si>
  <si>
    <t>PCA DM</t>
  </si>
  <si>
    <t>GMO/AHMO OH</t>
  </si>
  <si>
    <t>CM PCA OH</t>
  </si>
  <si>
    <t>CM Top Level OH</t>
  </si>
  <si>
    <t>Production Scrap</t>
  </si>
  <si>
    <t>Complete Product</t>
  </si>
  <si>
    <t>Material</t>
  </si>
  <si>
    <t>CM OH</t>
  </si>
  <si>
    <t>Top Level Consignment Cost ($/m)</t>
  </si>
  <si>
    <t>PCA Consignment Cost ($/m)</t>
  </si>
  <si>
    <t>SCI SYSTEMS DE MEXICO S.A. DE C.V.</t>
  </si>
  <si>
    <t>CUSTOMER: HP GMO</t>
  </si>
  <si>
    <t>P/N: SCANNER N/P C5110A #AC3</t>
  </si>
  <si>
    <t>DATE: JULIO 1997</t>
  </si>
  <si>
    <t>25K</t>
  </si>
  <si>
    <t>50K</t>
  </si>
  <si>
    <t>80K</t>
  </si>
  <si>
    <t>100K</t>
  </si>
  <si>
    <t>150K</t>
  </si>
  <si>
    <t>ITEM</t>
  </si>
  <si>
    <t>HP  P/N</t>
  </si>
  <si>
    <t>Unit cost</t>
  </si>
  <si>
    <t>U/F</t>
  </si>
  <si>
    <t>Ext Cost</t>
  </si>
  <si>
    <t>SCRE, 6-32 TT</t>
  </si>
  <si>
    <t>PWR SUPPLY</t>
  </si>
  <si>
    <t>CLIP-LED TI-3/4</t>
  </si>
  <si>
    <t>SCR 6/32 X321</t>
  </si>
  <si>
    <t>SCR -4/40X25</t>
  </si>
  <si>
    <t>FERRETI</t>
  </si>
  <si>
    <t>DBL SIDED TAPE</t>
  </si>
  <si>
    <t>BASE STAMPING</t>
  </si>
  <si>
    <t>SHIELD PWR S.</t>
  </si>
  <si>
    <t>SHIELD CTRL PCA</t>
  </si>
  <si>
    <t>BOARD INSULATOR</t>
  </si>
  <si>
    <t>TRIM SKIRT,RIGHT</t>
  </si>
  <si>
    <t>TRIM SKIRT,LEFT</t>
  </si>
  <si>
    <t>TRIM SKIRT,FRONT</t>
  </si>
  <si>
    <t>GROMMENT FRONT</t>
  </si>
  <si>
    <t>GROMMENT REAR</t>
  </si>
  <si>
    <t>SCREW SHOULDER</t>
  </si>
  <si>
    <t>IDLER PULLEY</t>
  </si>
  <si>
    <t>DOC LID</t>
  </si>
  <si>
    <t>SWITCH/LED ASSY</t>
  </si>
  <si>
    <t>PS TO CTL CABLE</t>
  </si>
  <si>
    <t>CARRIAGE ASSY</t>
  </si>
  <si>
    <t>SERIAL LABEL</t>
  </si>
  <si>
    <t>PRODUCT LBL</t>
  </si>
  <si>
    <t>REF MARK LBL</t>
  </si>
  <si>
    <t>FOOT RUBBER</t>
  </si>
  <si>
    <t>PLATEN GLASS</t>
  </si>
  <si>
    <t>LUBRICANT GREASE</t>
  </si>
  <si>
    <t xml:space="preserve">TAPE IND. </t>
  </si>
  <si>
    <t>SLIP SHEET</t>
  </si>
  <si>
    <t>BAG PACKAGING</t>
  </si>
  <si>
    <t>BULK PACK. LBL</t>
  </si>
  <si>
    <t>BULK TRAY TOP</t>
  </si>
  <si>
    <t>BULK TRAY BTM</t>
  </si>
  <si>
    <t>LABEL THIS SIDE ONLY</t>
  </si>
  <si>
    <t>::</t>
  </si>
  <si>
    <t>CONSIGNED MATERIAL=0</t>
  </si>
  <si>
    <t>CM=</t>
  </si>
  <si>
    <t>CM$/m=</t>
  </si>
  <si>
    <t>MATERIAL COST</t>
  </si>
  <si>
    <t>MATERIAL MARK UP  (2.60%)</t>
  </si>
  <si>
    <t>INCOMING FREIGHT (1.10%)</t>
  </si>
  <si>
    <t>PKG MTL OTHER AND INDIRECT **</t>
  </si>
  <si>
    <t>HOURLY RATE</t>
  </si>
  <si>
    <t>25K/Mo</t>
  </si>
  <si>
    <t>50K/Mo</t>
  </si>
  <si>
    <t>80K/Mo</t>
  </si>
  <si>
    <t>100K/Mo</t>
  </si>
  <si>
    <t>150K/Mo</t>
  </si>
  <si>
    <t>ASSEMBLY LABOR</t>
  </si>
  <si>
    <t>RWK</t>
  </si>
  <si>
    <t>GLASS INSP</t>
  </si>
  <si>
    <t>CARRIAGE HANDLING</t>
  </si>
  <si>
    <t>LOW TEST</t>
  </si>
  <si>
    <t>HIGHT TEST</t>
  </si>
  <si>
    <t>NPC</t>
  </si>
  <si>
    <t>AUDIT/BENCH RUN</t>
  </si>
  <si>
    <t>TOTAL LABOR</t>
  </si>
  <si>
    <t>MANUFACTURING COST</t>
  </si>
  <si>
    <t>PROFIT (2.40%)</t>
  </si>
  <si>
    <t>PCA DOMINO</t>
  </si>
  <si>
    <t>TOTAL UNIT COST</t>
  </si>
  <si>
    <t>VALUE ADD</t>
  </si>
  <si>
    <t>COST REDUCTION OPPORTUNITIES</t>
  </si>
  <si>
    <t>SUB-TOTAL</t>
  </si>
  <si>
    <t>PROFIT 2.4%</t>
  </si>
  <si>
    <t>TOTAL</t>
  </si>
  <si>
    <t>NEW COST W/O RWK</t>
  </si>
  <si>
    <t>JUN 26</t>
  </si>
  <si>
    <t>CURRENT PRICE</t>
  </si>
  <si>
    <t>POTENTIAL DELTA</t>
  </si>
  <si>
    <t>SCI DE MEXICO S.A. DE C.V.</t>
  </si>
  <si>
    <t>HP GMO</t>
  </si>
  <si>
    <t>C5110-66503   REV. "A9".</t>
  </si>
  <si>
    <t>JULIO 1997</t>
  </si>
  <si>
    <t>HP P/N</t>
  </si>
  <si>
    <t>Ext cost</t>
  </si>
  <si>
    <t>CAP-FXD 0.01uF +-10% 50 V CER X7R</t>
  </si>
  <si>
    <t>CAP-FXD 3300pF +-10% 50 V CER  X7R</t>
  </si>
  <si>
    <t>CAP-FXD 47 pF +-5% 50V CER COG</t>
  </si>
  <si>
    <t>CAP-FXD 15pF +-5% 50 V CER COG</t>
  </si>
  <si>
    <t>CAP-FXD 100pF +-5% 50V CER COG</t>
  </si>
  <si>
    <t>CAP-FXD 0.022uF +-10% V CER x7R</t>
  </si>
  <si>
    <t>CAP-FXD 0.1uF +-10% 50 C CER X7R</t>
  </si>
  <si>
    <t>CAP-FXD 22uF +-20% 20 V TA</t>
  </si>
  <si>
    <t>CAP-FXD 10 uF +-20% 35 V TA</t>
  </si>
  <si>
    <t>CRYSTAL-QUARTZ 36.000 MHZ HC-49/U</t>
  </si>
  <si>
    <t>RESISTOR .1W TKF TC=0+-300</t>
  </si>
  <si>
    <t>RESISTOR 121 +-1% .1W TKF TC=0+-100</t>
  </si>
  <si>
    <t>RESISTOR 215+-1% .1W TKF TC=0 +-100</t>
  </si>
  <si>
    <t>RESISTOR 1.78K +-1% .1W TKF TC=0+-100</t>
  </si>
  <si>
    <t>RESISTOR 21.5K +-1%.1W TKF TC=0+-100</t>
  </si>
  <si>
    <t>RESISTOR 196 +-1% .1W  TKF TC=0+-100</t>
  </si>
  <si>
    <t>RESISTOR 1K+-1%.1W TKF TC=0+-100</t>
  </si>
  <si>
    <t>RESISTOR 5.11K +-1%.1W TKF TC=0+-100</t>
  </si>
  <si>
    <t>RESISTOR 10K+-1%.1W TKF TC=0+-100</t>
  </si>
  <si>
    <t>RESISTOR 100K +-1%.w TKF TC=0+-100</t>
  </si>
  <si>
    <t>RESISTOR 100+-1%.1W TKF TC=0+-100</t>
  </si>
  <si>
    <t>RESISTOR 1M +-1%.1W TKF TC=0+-100</t>
  </si>
  <si>
    <t>RESISTOR 46.4 +-1%.W TKF TC=0+-100</t>
  </si>
  <si>
    <t>SOCKET-IC-PLCC 32-CONT RECT GLR J-LEAD</t>
  </si>
  <si>
    <t>CONN-POST TYPE.100-PIN-SPCG-MTG-END</t>
  </si>
  <si>
    <t>CONNECTOR 8-PIN F CIRCULAR MINIDIN</t>
  </si>
  <si>
    <t>CONN-POST TYPE 2.54-PIN-SPCG-MTG-END</t>
  </si>
  <si>
    <t>IC LCH TTL/F TRANPARENT OCTL</t>
  </si>
  <si>
    <t>TRANSISTOR NPN SIT TO -236AA PD-35MW</t>
  </si>
  <si>
    <t>DIODE-PWR-S 40V 4A</t>
  </si>
  <si>
    <t>DIODE-DUAL 70V 100MA TO-236AA</t>
  </si>
  <si>
    <t>SWITCH-DIP ROTARY 8POSOCT 0.03A 30VDC</t>
  </si>
  <si>
    <t>INDUCTOR 680nH+-5% 2.8W-mmX3.4LG-mm</t>
  </si>
  <si>
    <t>INDUCTOR 10nH+-10%2.8W-mmX3.4LG-mm</t>
  </si>
  <si>
    <t>INDUCTOR 100nH+-5%2.8W-mmX3.4LG-mm</t>
  </si>
  <si>
    <t>INDUCTOR 1uH +-5% 2.8W-mmX3.4LG-mm Q=30</t>
  </si>
  <si>
    <t>INDUCTOR 4.7uH +-5% 2.8W-mmx3.4LG-mm</t>
  </si>
  <si>
    <t>CORE-SHIELDING BEAD</t>
  </si>
  <si>
    <t>1818-5681</t>
  </si>
  <si>
    <t>IC 512K-BIT OTP 120-NS CMOS</t>
  </si>
  <si>
    <t>PCB</t>
  </si>
  <si>
    <t>CONN-POST TYPE 1-PIN-SPCG-MTG-END</t>
  </si>
  <si>
    <t>IC 64K-BIT SRAM 15-NS CMOS</t>
  </si>
  <si>
    <t>IC</t>
  </si>
  <si>
    <t>IC-ASIC CL-BSD 54K GATES CMOS 689</t>
  </si>
  <si>
    <t>DRAM 256KX16 80 NS SOJ FST-PG-M-5V</t>
  </si>
  <si>
    <t>&lt;- PCA from JIT=0</t>
  </si>
  <si>
    <t>SCI TURN-KEY MATERIAL</t>
  </si>
  <si>
    <t>HP PPP MATERIAL</t>
  </si>
  <si>
    <t>SCI  MATERIAL MARKUP (4% SCI MATL)</t>
  </si>
  <si>
    <t>HP PPP MATERIAL MARK UP(2.5% PPP)</t>
  </si>
  <si>
    <t>INCOMMING FREIGHT (1% PPP)</t>
  </si>
  <si>
    <t>INDIRECT MATERIAL</t>
  </si>
  <si>
    <t>PACKAGING</t>
  </si>
  <si>
    <t>TOTAL MATERIAL COST</t>
  </si>
  <si>
    <t>LOW TEST (8.3/hr)</t>
  </si>
  <si>
    <t>HIGHT TEST (8.3/hr)</t>
  </si>
  <si>
    <t>PROFIT (1%)</t>
  </si>
  <si>
    <t>HP Total Real Cost (including rebate)</t>
  </si>
  <si>
    <t>TOTAL UNIT COST (SCI Cost)</t>
  </si>
  <si>
    <t>DM</t>
  </si>
  <si>
    <t>$Cons./m</t>
  </si>
  <si>
    <t>M-up</t>
  </si>
  <si>
    <t>GMO PL4X  Cost Reduction RoadMap</t>
  </si>
  <si>
    <t>Current @25K</t>
  </si>
  <si>
    <t>Q3(90K/mo)</t>
  </si>
  <si>
    <t>(100K/mo)</t>
  </si>
  <si>
    <t xml:space="preserve">D I R E C T     M A T E R I A L </t>
  </si>
  <si>
    <t>OVERHEAD</t>
  </si>
  <si>
    <t>CURRENT</t>
  </si>
  <si>
    <t>Price Negociation conversion</t>
  </si>
  <si>
    <t>Other Big Differences</t>
  </si>
  <si>
    <t>LS</t>
  </si>
  <si>
    <t>Local Sourcing Plastics (Big parts)</t>
  </si>
  <si>
    <t>Compensations (Base, Bulk -Plan)</t>
  </si>
  <si>
    <t>CARRIAGE (dm)</t>
  </si>
  <si>
    <t>Curr vs Q4</t>
  </si>
  <si>
    <t>Q4 vs AHMO</t>
  </si>
  <si>
    <t>Action</t>
  </si>
  <si>
    <t>Julio</t>
  </si>
  <si>
    <t>Agosto</t>
  </si>
  <si>
    <t>Septiembre</t>
  </si>
  <si>
    <t>Octubre</t>
  </si>
  <si>
    <t>Noviembre</t>
  </si>
  <si>
    <t>Diciembre</t>
  </si>
  <si>
    <t>Enero</t>
  </si>
  <si>
    <t>Q2</t>
  </si>
  <si>
    <t>Q3</t>
  </si>
  <si>
    <t>Q4</t>
  </si>
  <si>
    <t>$</t>
  </si>
  <si>
    <t>%</t>
  </si>
  <si>
    <t>Owner</t>
  </si>
  <si>
    <t>Pri</t>
  </si>
  <si>
    <t>80%</t>
  </si>
  <si>
    <t>20%</t>
  </si>
  <si>
    <t>MG/AG</t>
  </si>
  <si>
    <t xml:space="preserve">PNC Convesion Cost Monitoring </t>
  </si>
  <si>
    <t>AG</t>
  </si>
  <si>
    <t>Costing Model</t>
  </si>
  <si>
    <t>OC</t>
  </si>
  <si>
    <t>Corp pricing (PCA), model/process</t>
  </si>
  <si>
    <t>OC/AG</t>
  </si>
  <si>
    <t>2-3</t>
  </si>
  <si>
    <t>SCI part price revaluation consist</t>
  </si>
  <si>
    <t>HR</t>
  </si>
  <si>
    <t>Base Local Sourcing</t>
  </si>
  <si>
    <t>?4X</t>
  </si>
  <si>
    <t>LS Shields</t>
  </si>
  <si>
    <t>Local Sourcing misc. parts (Plan)</t>
  </si>
  <si>
    <t>?</t>
  </si>
  <si>
    <t>Prod. Process</t>
  </si>
  <si>
    <t>Revision status</t>
  </si>
  <si>
    <t>MR</t>
  </si>
  <si>
    <t>Carriage Assy Local Sourcing(Plan)</t>
  </si>
  <si>
    <t>SA</t>
  </si>
  <si>
    <t>PCA Parameters</t>
  </si>
  <si>
    <t>Indirect Material</t>
  </si>
  <si>
    <t>GMO Mtrl only</t>
  </si>
  <si>
    <t>Current</t>
  </si>
  <si>
    <t xml:space="preserve">Consigned PND Parts </t>
  </si>
  <si>
    <t>Carriage DM</t>
  </si>
  <si>
    <t>Carriage OH</t>
  </si>
  <si>
    <t>Compensation</t>
  </si>
  <si>
    <t>Mtrl + PCA OH &amp; C Assy</t>
  </si>
  <si>
    <t>PCA OH &amp; C Assy</t>
  </si>
  <si>
    <t>Mtrl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</si>
</sst>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6" formatCode="&quot;$&quot;#,##0.00_);\(&quot;$&quot;#,##0.00\)"/>
    <numFmt numFmtId="167" formatCode="&quot;$&quot;#,##0.00_);[Red]\(&quot;$&quot;#,##0.0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000"/>
    <numFmt numFmtId="173" formatCode="0.000"/>
    <numFmt numFmtId="175" formatCode="0.0%"/>
    <numFmt numFmtId="177" formatCode="&quot;$&quot;#,##0.000_);[Red]\(&quot;$&quot;#,##0.000\)"/>
    <numFmt numFmtId="178" formatCode="&quot;$&quot;#,##0.000\ ;\(&quot;$&quot;#,##0.000\)"/>
    <numFmt numFmtId="179" formatCode="&quot;$&quot;#,##0.0000\ ;\(&quot;$&quot;#,##0.0000\)"/>
    <numFmt numFmtId="180" formatCode="&quot;$&quot;#,##0.00\ ;\(&quot;$&quot;#,##0.00\)"/>
    <numFmt numFmtId="181" formatCode="&quot;$&quot;#,##0.00"/>
    <numFmt numFmtId="182" formatCode="&quot;$&quot;#,##0"/>
    <numFmt numFmtId="185" formatCode="#,##0.0000000"/>
  </numFmts>
  <fonts count="6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2"/>
      <name val="Arial"/>
    </font>
    <font>
      <sz val="11"/>
      <name val="Arial"/>
    </font>
    <font>
      <sz val="10"/>
      <color indexed="24"/>
      <name val="Arial"/>
      <family val="2"/>
    </font>
    <font>
      <b/>
      <sz val="11"/>
      <color indexed="24"/>
      <name val="Arial"/>
      <family val="2"/>
    </font>
    <font>
      <sz val="8"/>
      <color indexed="24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sz val="13"/>
      <name val="Arial"/>
    </font>
    <font>
      <b/>
      <sz val="13"/>
      <name val="Arial"/>
      <family val="2"/>
    </font>
    <font>
      <sz val="14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color indexed="10"/>
      <name val="Arial"/>
      <family val="2"/>
    </font>
    <font>
      <sz val="8"/>
      <color indexed="16"/>
      <name val="Arial"/>
      <family val="2"/>
    </font>
    <font>
      <b/>
      <u/>
      <sz val="10"/>
      <name val="Arial"/>
      <family val="2"/>
    </font>
    <font>
      <b/>
      <sz val="10"/>
      <color indexed="14"/>
      <name val="Arial"/>
    </font>
    <font>
      <b/>
      <sz val="10"/>
      <color indexed="56"/>
      <name val="Arial"/>
      <family val="2"/>
    </font>
    <font>
      <b/>
      <sz val="11"/>
      <color indexed="56"/>
      <name val="Arial"/>
    </font>
    <font>
      <b/>
      <sz val="11"/>
      <color indexed="56"/>
      <name val="Arial"/>
      <family val="2"/>
    </font>
    <font>
      <u/>
      <sz val="10"/>
      <name val="Arial"/>
      <family val="2"/>
    </font>
    <font>
      <b/>
      <sz val="12"/>
      <color indexed="56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</font>
    <font>
      <b/>
      <sz val="11"/>
      <color indexed="9"/>
      <name val="Arial"/>
      <family val="2"/>
    </font>
    <font>
      <b/>
      <sz val="10"/>
      <color indexed="9"/>
      <name val="Arial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sz val="8"/>
      <name val="Arial"/>
    </font>
    <font>
      <b/>
      <sz val="8"/>
      <name val="Arial"/>
    </font>
    <font>
      <sz val="8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1"/>
      <color indexed="14"/>
      <name val="Arial"/>
      <family val="2"/>
    </font>
    <font>
      <sz val="10"/>
      <color indexed="9"/>
      <name val="Arial"/>
      <family val="2"/>
    </font>
    <font>
      <sz val="10"/>
      <color indexed="32"/>
      <name val="Arial"/>
      <family val="2"/>
    </font>
    <font>
      <b/>
      <sz val="8"/>
      <color indexed="10"/>
      <name val="Arial"/>
    </font>
    <font>
      <b/>
      <sz val="11"/>
      <color indexed="10"/>
      <name val="Arial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</font>
    <font>
      <i/>
      <sz val="11"/>
      <color indexed="12"/>
      <name val="Arial"/>
    </font>
    <font>
      <sz val="11"/>
      <color indexed="8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sz val="8"/>
      <color indexed="81"/>
      <name val="Tahoma"/>
    </font>
    <font>
      <sz val="8"/>
      <color indexed="18"/>
      <name val="Arial"/>
      <family val="2"/>
    </font>
    <font>
      <sz val="12"/>
      <color indexed="1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7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167" fontId="4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7" fontId="5" fillId="0" borderId="0" xfId="0" applyNumberFormat="1" applyFont="1" applyFill="1" applyAlignment="1">
      <alignment horizontal="left"/>
    </xf>
    <xf numFmtId="0" fontId="3" fillId="0" borderId="0" xfId="0" applyFont="1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167" fontId="5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2" fontId="8" fillId="3" borderId="4" xfId="0" applyNumberFormat="1" applyFont="1" applyFill="1" applyBorder="1"/>
    <xf numFmtId="0" fontId="9" fillId="2" borderId="5" xfId="0" applyFont="1" applyFill="1" applyBorder="1"/>
    <xf numFmtId="0" fontId="9" fillId="2" borderId="0" xfId="0" applyFont="1" applyFill="1" applyBorder="1"/>
    <xf numFmtId="173" fontId="9" fillId="2" borderId="0" xfId="0" applyNumberFormat="1" applyFont="1" applyFill="1" applyBorder="1"/>
    <xf numFmtId="2" fontId="9" fillId="2" borderId="0" xfId="0" applyNumberFormat="1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173" fontId="7" fillId="4" borderId="4" xfId="0" applyNumberFormat="1" applyFont="1" applyFill="1" applyBorder="1"/>
    <xf numFmtId="2" fontId="7" fillId="4" borderId="4" xfId="0" applyNumberFormat="1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173" fontId="9" fillId="2" borderId="4" xfId="0" applyNumberFormat="1" applyFont="1" applyFill="1" applyBorder="1"/>
    <xf numFmtId="2" fontId="9" fillId="2" borderId="4" xfId="0" applyNumberFormat="1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0" fontId="6" fillId="4" borderId="7" xfId="0" applyFont="1" applyFill="1" applyBorder="1"/>
    <xf numFmtId="2" fontId="7" fillId="4" borderId="7" xfId="0" applyNumberFormat="1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2" fontId="7" fillId="4" borderId="9" xfId="0" applyNumberFormat="1" applyFont="1" applyFill="1" applyBorder="1"/>
    <xf numFmtId="173" fontId="7" fillId="4" borderId="7" xfId="0" applyNumberFormat="1" applyFont="1" applyFill="1" applyBorder="1"/>
    <xf numFmtId="0" fontId="6" fillId="4" borderId="9" xfId="0" applyFont="1" applyFill="1" applyBorder="1"/>
    <xf numFmtId="173" fontId="7" fillId="4" borderId="9" xfId="0" applyNumberFormat="1" applyFont="1" applyFill="1" applyBorder="1"/>
    <xf numFmtId="0" fontId="9" fillId="5" borderId="5" xfId="0" applyFont="1" applyFill="1" applyBorder="1"/>
    <xf numFmtId="0" fontId="9" fillId="5" borderId="0" xfId="0" applyFont="1" applyFill="1" applyBorder="1"/>
    <xf numFmtId="173" fontId="9" fillId="5" borderId="0" xfId="0" applyNumberFormat="1" applyFont="1" applyFill="1" applyBorder="1"/>
    <xf numFmtId="2" fontId="9" fillId="5" borderId="0" xfId="0" applyNumberFormat="1" applyFont="1" applyFill="1" applyBorder="1"/>
    <xf numFmtId="172" fontId="7" fillId="4" borderId="7" xfId="0" applyNumberFormat="1" applyFont="1" applyFill="1" applyBorder="1"/>
    <xf numFmtId="172" fontId="9" fillId="2" borderId="0" xfId="0" applyNumberFormat="1" applyFont="1" applyFill="1" applyBorder="1"/>
    <xf numFmtId="172" fontId="9" fillId="5" borderId="0" xfId="0" applyNumberFormat="1" applyFont="1" applyFill="1" applyBorder="1"/>
    <xf numFmtId="172" fontId="0" fillId="0" borderId="0" xfId="0" applyNumberFormat="1"/>
    <xf numFmtId="172" fontId="9" fillId="2" borderId="4" xfId="0" applyNumberFormat="1" applyFont="1" applyFill="1" applyBorder="1"/>
    <xf numFmtId="172" fontId="0" fillId="0" borderId="0" xfId="0" quotePrefix="1" applyNumberFormat="1" applyAlignment="1">
      <alignment horizontal="left"/>
    </xf>
    <xf numFmtId="0" fontId="1" fillId="0" borderId="0" xfId="0" applyFont="1"/>
    <xf numFmtId="166" fontId="0" fillId="0" borderId="0" xfId="0" applyNumberFormat="1"/>
    <xf numFmtId="173" fontId="0" fillId="0" borderId="0" xfId="0" applyNumberFormat="1"/>
    <xf numFmtId="172" fontId="6" fillId="4" borderId="7" xfId="0" applyNumberFormat="1" applyFont="1" applyFill="1" applyBorder="1"/>
    <xf numFmtId="172" fontId="6" fillId="4" borderId="9" xfId="0" applyNumberFormat="1" applyFont="1" applyFill="1" applyBorder="1"/>
    <xf numFmtId="172" fontId="10" fillId="2" borderId="0" xfId="0" applyNumberFormat="1" applyFont="1" applyFill="1" applyBorder="1"/>
    <xf numFmtId="172" fontId="10" fillId="5" borderId="0" xfId="0" applyNumberFormat="1" applyFont="1" applyFill="1" applyBorder="1"/>
    <xf numFmtId="172" fontId="6" fillId="4" borderId="4" xfId="0" applyNumberFormat="1" applyFont="1" applyFill="1" applyBorder="1"/>
    <xf numFmtId="177" fontId="4" fillId="0" borderId="0" xfId="0" applyNumberFormat="1" applyFont="1" applyFill="1" applyBorder="1" applyAlignment="1">
      <alignment horizontal="left"/>
    </xf>
    <xf numFmtId="173" fontId="11" fillId="4" borderId="9" xfId="0" applyNumberFormat="1" applyFont="1" applyFill="1" applyBorder="1"/>
    <xf numFmtId="0" fontId="9" fillId="2" borderId="0" xfId="0" quotePrefix="1" applyFont="1" applyFill="1" applyBorder="1" applyAlignment="1">
      <alignment horizontal="left"/>
    </xf>
    <xf numFmtId="0" fontId="9" fillId="2" borderId="4" xfId="0" quotePrefix="1" applyFont="1" applyFill="1" applyBorder="1" applyAlignment="1">
      <alignment horizontal="left"/>
    </xf>
    <xf numFmtId="17" fontId="0" fillId="0" borderId="0" xfId="0" applyNumberFormat="1"/>
    <xf numFmtId="177" fontId="0" fillId="0" borderId="0" xfId="0" applyNumberFormat="1"/>
    <xf numFmtId="0" fontId="12" fillId="0" borderId="0" xfId="0" applyFont="1" applyFill="1" applyBorder="1" applyAlignment="1">
      <alignment horizontal="left"/>
    </xf>
    <xf numFmtId="166" fontId="0" fillId="0" borderId="0" xfId="0" applyNumberFormat="1" applyAlignment="1"/>
    <xf numFmtId="167" fontId="4" fillId="0" borderId="0" xfId="0" applyNumberFormat="1" applyFont="1" applyFill="1" applyBorder="1" applyAlignment="1"/>
    <xf numFmtId="167" fontId="5" fillId="0" borderId="0" xfId="0" applyNumberFormat="1" applyFont="1" applyAlignment="1"/>
    <xf numFmtId="167" fontId="5" fillId="0" borderId="0" xfId="0" applyNumberFormat="1" applyFont="1" applyFill="1" applyAlignment="1"/>
    <xf numFmtId="0" fontId="0" fillId="0" borderId="0" xfId="0" applyAlignment="1">
      <alignment horizontal="center"/>
    </xf>
    <xf numFmtId="166" fontId="13" fillId="0" borderId="0" xfId="3" applyNumberFormat="1" applyFont="1" applyAlignment="1">
      <alignment horizontal="center"/>
    </xf>
    <xf numFmtId="175" fontId="13" fillId="0" borderId="0" xfId="3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13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2" fillId="0" borderId="0" xfId="0" quotePrefix="1" applyFont="1" applyFill="1" applyBorder="1" applyAlignment="1">
      <alignment horizontal="left"/>
    </xf>
    <xf numFmtId="167" fontId="5" fillId="0" borderId="0" xfId="0" applyNumberFormat="1" applyFont="1" applyFill="1" applyBorder="1" applyAlignment="1">
      <alignment horizontal="right"/>
    </xf>
    <xf numFmtId="167" fontId="1" fillId="0" borderId="0" xfId="0" applyNumberFormat="1" applyFont="1" applyAlignment="1"/>
    <xf numFmtId="167" fontId="0" fillId="0" borderId="0" xfId="0" applyNumberFormat="1"/>
    <xf numFmtId="0" fontId="17" fillId="3" borderId="4" xfId="0" applyFont="1" applyFill="1" applyBorder="1"/>
    <xf numFmtId="0" fontId="0" fillId="0" borderId="2" xfId="0" applyBorder="1"/>
    <xf numFmtId="0" fontId="0" fillId="0" borderId="10" xfId="0" applyBorder="1" applyAlignment="1">
      <alignment horizontal="centerContinuous"/>
    </xf>
    <xf numFmtId="0" fontId="6" fillId="6" borderId="9" xfId="0" applyFont="1" applyFill="1" applyBorder="1" applyAlignment="1">
      <alignment horizontal="left"/>
    </xf>
    <xf numFmtId="172" fontId="6" fillId="6" borderId="8" xfId="0" applyNumberFormat="1" applyFont="1" applyFill="1" applyBorder="1" applyAlignment="1">
      <alignment horizontal="right"/>
    </xf>
    <xf numFmtId="173" fontId="6" fillId="6" borderId="11" xfId="0" applyNumberFormat="1" applyFont="1" applyFill="1" applyBorder="1" applyAlignment="1">
      <alignment horizontal="center"/>
    </xf>
    <xf numFmtId="172" fontId="21" fillId="6" borderId="8" xfId="0" applyNumberFormat="1" applyFont="1" applyFill="1" applyBorder="1" applyAlignment="1">
      <alignment horizontal="right"/>
    </xf>
    <xf numFmtId="172" fontId="22" fillId="6" borderId="8" xfId="0" applyNumberFormat="1" applyFont="1" applyFill="1" applyBorder="1" applyAlignment="1">
      <alignment horizontal="right"/>
    </xf>
    <xf numFmtId="2" fontId="6" fillId="6" borderId="11" xfId="0" applyNumberFormat="1" applyFont="1" applyFill="1" applyBorder="1" applyAlignment="1">
      <alignment horizontal="center"/>
    </xf>
    <xf numFmtId="2" fontId="23" fillId="6" borderId="11" xfId="0" applyNumberFormat="1" applyFont="1" applyFill="1" applyBorder="1" applyAlignment="1">
      <alignment horizontal="center"/>
    </xf>
    <xf numFmtId="0" fontId="6" fillId="7" borderId="9" xfId="0" applyFont="1" applyFill="1" applyBorder="1" applyAlignment="1">
      <alignment horizontal="left"/>
    </xf>
    <xf numFmtId="172" fontId="21" fillId="7" borderId="8" xfId="0" applyNumberFormat="1" applyFont="1" applyFill="1" applyBorder="1" applyAlignment="1">
      <alignment horizontal="right"/>
    </xf>
    <xf numFmtId="173" fontId="6" fillId="7" borderId="11" xfId="0" applyNumberFormat="1" applyFont="1" applyFill="1" applyBorder="1" applyAlignment="1">
      <alignment horizontal="center"/>
    </xf>
    <xf numFmtId="172" fontId="22" fillId="7" borderId="8" xfId="0" applyNumberFormat="1" applyFont="1" applyFill="1" applyBorder="1" applyAlignment="1">
      <alignment horizontal="right"/>
    </xf>
    <xf numFmtId="172" fontId="6" fillId="7" borderId="8" xfId="0" applyNumberFormat="1" applyFont="1" applyFill="1" applyBorder="1" applyAlignment="1">
      <alignment horizontal="right"/>
    </xf>
    <xf numFmtId="173" fontId="6" fillId="8" borderId="11" xfId="0" applyNumberFormat="1" applyFont="1" applyFill="1" applyBorder="1" applyAlignment="1">
      <alignment horizontal="center"/>
    </xf>
    <xf numFmtId="173" fontId="23" fillId="8" borderId="11" xfId="0" applyNumberFormat="1" applyFont="1" applyFill="1" applyBorder="1" applyAlignment="1">
      <alignment horizontal="center"/>
    </xf>
    <xf numFmtId="0" fontId="6" fillId="9" borderId="9" xfId="0" applyFont="1" applyFill="1" applyBorder="1" applyAlignment="1">
      <alignment horizontal="left"/>
    </xf>
    <xf numFmtId="172" fontId="6" fillId="9" borderId="8" xfId="0" applyNumberFormat="1" applyFont="1" applyFill="1" applyBorder="1" applyAlignment="1">
      <alignment horizontal="right"/>
    </xf>
    <xf numFmtId="173" fontId="6" fillId="9" borderId="11" xfId="0" applyNumberFormat="1" applyFont="1" applyFill="1" applyBorder="1" applyAlignment="1">
      <alignment horizontal="center"/>
    </xf>
    <xf numFmtId="172" fontId="6" fillId="7" borderId="9" xfId="0" applyNumberFormat="1" applyFont="1" applyFill="1" applyBorder="1" applyAlignment="1">
      <alignment horizontal="left"/>
    </xf>
    <xf numFmtId="172" fontId="24" fillId="7" borderId="11" xfId="0" applyNumberFormat="1" applyFont="1" applyFill="1" applyBorder="1" applyAlignment="1">
      <alignment horizontal="center"/>
    </xf>
    <xf numFmtId="172" fontId="17" fillId="7" borderId="11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left"/>
    </xf>
    <xf numFmtId="172" fontId="3" fillId="9" borderId="8" xfId="0" applyNumberFormat="1" applyFont="1" applyFill="1" applyBorder="1" applyAlignment="1">
      <alignment horizontal="right"/>
    </xf>
    <xf numFmtId="173" fontId="3" fillId="9" borderId="11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left"/>
    </xf>
    <xf numFmtId="172" fontId="3" fillId="10" borderId="8" xfId="0" applyNumberFormat="1" applyFont="1" applyFill="1" applyBorder="1" applyAlignment="1">
      <alignment horizontal="right"/>
    </xf>
    <xf numFmtId="173" fontId="3" fillId="10" borderId="11" xfId="0" applyNumberFormat="1" applyFont="1" applyFill="1" applyBorder="1" applyAlignment="1">
      <alignment horizontal="center"/>
    </xf>
    <xf numFmtId="172" fontId="25" fillId="9" borderId="8" xfId="0" applyNumberFormat="1" applyFont="1" applyFill="1" applyBorder="1" applyAlignment="1">
      <alignment horizontal="right"/>
    </xf>
    <xf numFmtId="0" fontId="26" fillId="2" borderId="9" xfId="0" applyFont="1" applyFill="1" applyBorder="1" applyAlignment="1">
      <alignment horizontal="left"/>
    </xf>
    <xf numFmtId="172" fontId="26" fillId="2" borderId="8" xfId="0" applyNumberFormat="1" applyFont="1" applyFill="1" applyBorder="1" applyAlignment="1">
      <alignment horizontal="right"/>
    </xf>
    <xf numFmtId="173" fontId="26" fillId="2" borderId="11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7" borderId="4" xfId="0" applyFont="1" applyFill="1" applyBorder="1" applyAlignment="1">
      <alignment horizontal="left"/>
    </xf>
    <xf numFmtId="172" fontId="6" fillId="7" borderId="3" xfId="0" applyNumberFormat="1" applyFont="1" applyFill="1" applyBorder="1" applyAlignment="1">
      <alignment horizontal="right"/>
    </xf>
    <xf numFmtId="173" fontId="6" fillId="7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3" fillId="0" borderId="0" xfId="0" applyFont="1"/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/>
    <xf numFmtId="2" fontId="20" fillId="11" borderId="12" xfId="0" applyNumberFormat="1" applyFont="1" applyFill="1" applyBorder="1" applyAlignment="1">
      <alignment horizontal="left"/>
    </xf>
    <xf numFmtId="0" fontId="18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19" fillId="0" borderId="2" xfId="0" applyFont="1" applyFill="1" applyBorder="1" applyAlignment="1">
      <alignment horizontal="centerContinuous"/>
    </xf>
    <xf numFmtId="0" fontId="3" fillId="11" borderId="4" xfId="0" applyFont="1" applyFill="1" applyBorder="1" applyAlignment="1">
      <alignment horizontal="center"/>
    </xf>
    <xf numFmtId="2" fontId="20" fillId="11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left"/>
    </xf>
    <xf numFmtId="172" fontId="6" fillId="6" borderId="6" xfId="0" applyNumberFormat="1" applyFont="1" applyFill="1" applyBorder="1" applyAlignment="1">
      <alignment horizontal="right"/>
    </xf>
    <xf numFmtId="173" fontId="6" fillId="6" borderId="1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2" fontId="6" fillId="0" borderId="0" xfId="0" applyNumberFormat="1" applyFont="1" applyFill="1" applyBorder="1" applyAlignment="1">
      <alignment horizontal="right"/>
    </xf>
    <xf numFmtId="173" fontId="6" fillId="0" borderId="0" xfId="0" applyNumberFormat="1" applyFont="1" applyFill="1" applyBorder="1" applyAlignment="1">
      <alignment horizontal="center"/>
    </xf>
    <xf numFmtId="173" fontId="8" fillId="6" borderId="13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left"/>
    </xf>
    <xf numFmtId="172" fontId="6" fillId="6" borderId="3" xfId="0" applyNumberFormat="1" applyFont="1" applyFill="1" applyBorder="1" applyAlignment="1">
      <alignment horizontal="right"/>
    </xf>
    <xf numFmtId="173" fontId="6" fillId="6" borderId="12" xfId="0" applyNumberFormat="1" applyFont="1" applyFill="1" applyBorder="1" applyAlignment="1">
      <alignment horizontal="center"/>
    </xf>
    <xf numFmtId="0" fontId="27" fillId="0" borderId="0" xfId="0" applyFont="1"/>
    <xf numFmtId="0" fontId="1" fillId="0" borderId="0" xfId="0" quotePrefix="1" applyFont="1" applyAlignment="1">
      <alignment horizontal="left"/>
    </xf>
    <xf numFmtId="0" fontId="28" fillId="0" borderId="0" xfId="0" applyFont="1"/>
    <xf numFmtId="0" fontId="29" fillId="0" borderId="0" xfId="0" applyFont="1"/>
    <xf numFmtId="172" fontId="30" fillId="4" borderId="9" xfId="0" applyNumberFormat="1" applyFont="1" applyFill="1" applyBorder="1"/>
    <xf numFmtId="172" fontId="31" fillId="2" borderId="0" xfId="0" applyNumberFormat="1" applyFont="1" applyFill="1" applyBorder="1"/>
    <xf numFmtId="172" fontId="29" fillId="2" borderId="0" xfId="0" applyNumberFormat="1" applyFont="1" applyFill="1" applyBorder="1"/>
    <xf numFmtId="0" fontId="32" fillId="0" borderId="0" xfId="0" applyFont="1"/>
    <xf numFmtId="0" fontId="34" fillId="2" borderId="0" xfId="0" applyFont="1" applyFill="1" applyBorder="1"/>
    <xf numFmtId="173" fontId="34" fillId="2" borderId="0" xfId="0" applyNumberFormat="1" applyFont="1" applyFill="1" applyBorder="1"/>
    <xf numFmtId="2" fontId="34" fillId="2" borderId="0" xfId="0" applyNumberFormat="1" applyFont="1" applyFill="1" applyBorder="1"/>
    <xf numFmtId="0" fontId="35" fillId="2" borderId="0" xfId="0" applyFont="1" applyFill="1" applyBorder="1"/>
    <xf numFmtId="172" fontId="36" fillId="2" borderId="0" xfId="0" applyNumberFormat="1" applyFont="1" applyFill="1" applyBorder="1"/>
    <xf numFmtId="173" fontId="35" fillId="2" borderId="0" xfId="0" applyNumberFormat="1" applyFont="1" applyFill="1" applyBorder="1"/>
    <xf numFmtId="2" fontId="35" fillId="2" borderId="0" xfId="0" applyNumberFormat="1" applyFont="1" applyFill="1" applyBorder="1"/>
    <xf numFmtId="172" fontId="34" fillId="2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quotePrefix="1" applyAlignment="1">
      <alignment horizontal="centerContinuous"/>
    </xf>
    <xf numFmtId="172" fontId="37" fillId="4" borderId="9" xfId="0" applyNumberFormat="1" applyFont="1" applyFill="1" applyBorder="1"/>
    <xf numFmtId="172" fontId="37" fillId="2" borderId="0" xfId="0" applyNumberFormat="1" applyFont="1" applyFill="1" applyBorder="1"/>
    <xf numFmtId="0" fontId="38" fillId="2" borderId="0" xfId="0" applyFont="1" applyFill="1"/>
    <xf numFmtId="173" fontId="33" fillId="4" borderId="9" xfId="0" applyNumberFormat="1" applyFont="1" applyFill="1" applyBorder="1"/>
    <xf numFmtId="173" fontId="31" fillId="2" borderId="0" xfId="0" applyNumberFormat="1" applyFont="1" applyFill="1" applyBorder="1"/>
    <xf numFmtId="173" fontId="1" fillId="0" borderId="0" xfId="0" applyNumberFormat="1" applyFont="1"/>
    <xf numFmtId="173" fontId="2" fillId="0" borderId="0" xfId="0" applyNumberFormat="1" applyFont="1"/>
    <xf numFmtId="178" fontId="0" fillId="0" borderId="0" xfId="0" applyNumberFormat="1" applyFont="1" applyFill="1" applyBorder="1" applyAlignment="1" applyProtection="1"/>
    <xf numFmtId="0" fontId="8" fillId="0" borderId="0" xfId="0" applyFont="1"/>
    <xf numFmtId="0" fontId="11" fillId="0" borderId="0" xfId="0" applyFont="1"/>
    <xf numFmtId="178" fontId="11" fillId="0" borderId="0" xfId="0" applyNumberFormat="1" applyFont="1"/>
    <xf numFmtId="178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78" fontId="8" fillId="0" borderId="0" xfId="0" applyNumberFormat="1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/>
    <xf numFmtId="178" fontId="8" fillId="0" borderId="14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/>
    <xf numFmtId="0" fontId="11" fillId="0" borderId="16" xfId="0" applyFont="1" applyBorder="1" applyAlignment="1">
      <alignment horizontal="left"/>
    </xf>
    <xf numFmtId="172" fontId="8" fillId="0" borderId="16" xfId="0" applyNumberFormat="1" applyFont="1" applyBorder="1"/>
    <xf numFmtId="0" fontId="8" fillId="0" borderId="16" xfId="0" applyFont="1" applyBorder="1" applyAlignment="1">
      <alignment horizontal="center"/>
    </xf>
    <xf numFmtId="179" fontId="8" fillId="0" borderId="16" xfId="0" applyNumberFormat="1" applyFont="1" applyBorder="1"/>
    <xf numFmtId="178" fontId="8" fillId="0" borderId="16" xfId="0" applyNumberFormat="1" applyFont="1" applyBorder="1"/>
    <xf numFmtId="178" fontId="8" fillId="0" borderId="17" xfId="0" applyNumberFormat="1" applyFont="1" applyBorder="1"/>
    <xf numFmtId="0" fontId="11" fillId="0" borderId="16" xfId="0" applyFont="1" applyBorder="1" applyAlignment="1">
      <alignment horizontal="center"/>
    </xf>
    <xf numFmtId="4" fontId="8" fillId="0" borderId="16" xfId="0" applyNumberFormat="1" applyFont="1" applyBorder="1" applyAlignment="1">
      <alignment horizontal="center"/>
    </xf>
    <xf numFmtId="0" fontId="11" fillId="0" borderId="17" xfId="0" applyFont="1" applyBorder="1"/>
    <xf numFmtId="0" fontId="8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/>
    <xf numFmtId="4" fontId="8" fillId="0" borderId="18" xfId="0" applyNumberFormat="1" applyFont="1" applyBorder="1" applyAlignment="1">
      <alignment horizontal="center"/>
    </xf>
    <xf numFmtId="179" fontId="8" fillId="0" borderId="18" xfId="0" applyNumberFormat="1" applyFont="1" applyBorder="1"/>
    <xf numFmtId="178" fontId="8" fillId="0" borderId="18" xfId="0" applyNumberFormat="1" applyFont="1" applyBorder="1"/>
    <xf numFmtId="178" fontId="8" fillId="0" borderId="19" xfId="0" applyNumberFormat="1" applyFont="1" applyBorder="1"/>
    <xf numFmtId="179" fontId="8" fillId="0" borderId="0" xfId="0" applyNumberFormat="1" applyFont="1"/>
    <xf numFmtId="0" fontId="41" fillId="0" borderId="0" xfId="0" applyFont="1"/>
    <xf numFmtId="0" fontId="42" fillId="0" borderId="0" xfId="0" applyFont="1"/>
    <xf numFmtId="180" fontId="8" fillId="0" borderId="0" xfId="0" applyNumberFormat="1" applyFont="1"/>
    <xf numFmtId="179" fontId="39" fillId="0" borderId="0" xfId="0" applyNumberFormat="1" applyFont="1"/>
    <xf numFmtId="10" fontId="41" fillId="0" borderId="0" xfId="3" applyNumberFormat="1" applyFont="1"/>
    <xf numFmtId="10" fontId="41" fillId="0" borderId="0" xfId="3" applyNumberFormat="1" applyFont="1" applyAlignment="1">
      <alignment horizontal="left"/>
    </xf>
    <xf numFmtId="10" fontId="43" fillId="0" borderId="0" xfId="3" applyNumberFormat="1" applyFont="1"/>
    <xf numFmtId="179" fontId="8" fillId="0" borderId="0" xfId="2" applyNumberFormat="1" applyFont="1"/>
    <xf numFmtId="179" fontId="39" fillId="0" borderId="0" xfId="2" applyNumberFormat="1" applyFont="1"/>
    <xf numFmtId="179" fontId="8" fillId="0" borderId="20" xfId="2" applyNumberFormat="1" applyFont="1" applyBorder="1"/>
    <xf numFmtId="179" fontId="8" fillId="0" borderId="0" xfId="2" applyNumberFormat="1" applyFont="1" applyBorder="1"/>
    <xf numFmtId="179" fontId="41" fillId="0" borderId="0" xfId="2" applyNumberFormat="1" applyFont="1" applyBorder="1"/>
    <xf numFmtId="179" fontId="41" fillId="0" borderId="0" xfId="0" applyNumberFormat="1" applyFont="1"/>
    <xf numFmtId="180" fontId="8" fillId="0" borderId="0" xfId="0" applyNumberFormat="1" applyFont="1" applyAlignment="1">
      <alignment horizontal="center"/>
    </xf>
    <xf numFmtId="179" fontId="8" fillId="0" borderId="0" xfId="0" applyNumberFormat="1" applyFont="1" applyAlignment="1">
      <alignment horizontal="center"/>
    </xf>
    <xf numFmtId="179" fontId="8" fillId="0" borderId="0" xfId="0" applyNumberFormat="1" applyFont="1" applyFill="1" applyBorder="1" applyAlignment="1" applyProtection="1">
      <alignment horizontal="center"/>
    </xf>
    <xf numFmtId="180" fontId="8" fillId="0" borderId="0" xfId="2" applyNumberFormat="1" applyFont="1"/>
    <xf numFmtId="180" fontId="8" fillId="0" borderId="0" xfId="2" applyNumberFormat="1" applyFont="1" applyBorder="1"/>
    <xf numFmtId="179" fontId="8" fillId="0" borderId="20" xfId="0" applyNumberFormat="1" applyFont="1" applyBorder="1"/>
    <xf numFmtId="10" fontId="11" fillId="0" borderId="0" xfId="0" applyNumberFormat="1" applyFont="1"/>
    <xf numFmtId="10" fontId="8" fillId="0" borderId="0" xfId="0" applyNumberFormat="1" applyFont="1"/>
    <xf numFmtId="10" fontId="41" fillId="0" borderId="0" xfId="0" applyNumberFormat="1" applyFont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applyFont="1"/>
    <xf numFmtId="179" fontId="11" fillId="0" borderId="0" xfId="0" applyNumberFormat="1" applyFont="1"/>
    <xf numFmtId="180" fontId="39" fillId="0" borderId="0" xfId="0" applyNumberFormat="1" applyFont="1"/>
    <xf numFmtId="178" fontId="41" fillId="0" borderId="0" xfId="0" applyNumberFormat="1" applyFont="1" applyFill="1" applyBorder="1" applyAlignment="1" applyProtection="1"/>
    <xf numFmtId="179" fontId="42" fillId="0" borderId="0" xfId="2" applyNumberFormat="1" applyFont="1"/>
    <xf numFmtId="179" fontId="25" fillId="0" borderId="0" xfId="2" applyNumberFormat="1" applyFont="1"/>
    <xf numFmtId="178" fontId="42" fillId="0" borderId="0" xfId="0" applyNumberFormat="1" applyFont="1" applyFill="1" applyBorder="1" applyAlignment="1" applyProtection="1"/>
    <xf numFmtId="178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42" fillId="0" borderId="0" xfId="0" applyFont="1" applyAlignment="1">
      <alignment horizontal="center"/>
    </xf>
    <xf numFmtId="178" fontId="41" fillId="0" borderId="0" xfId="0" applyNumberFormat="1" applyFont="1"/>
    <xf numFmtId="172" fontId="41" fillId="0" borderId="0" xfId="0" applyNumberFormat="1" applyFont="1"/>
    <xf numFmtId="172" fontId="41" fillId="0" borderId="0" xfId="0" applyNumberFormat="1" applyFont="1" applyAlignment="1">
      <alignment horizontal="right"/>
    </xf>
    <xf numFmtId="0" fontId="42" fillId="0" borderId="0" xfId="0" applyFont="1" applyAlignment="1">
      <alignment horizontal="left"/>
    </xf>
    <xf numFmtId="172" fontId="42" fillId="0" borderId="0" xfId="0" applyNumberFormat="1" applyFont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72" fontId="42" fillId="0" borderId="14" xfId="0" applyNumberFormat="1" applyFont="1" applyBorder="1" applyAlignment="1">
      <alignment horizontal="center"/>
    </xf>
    <xf numFmtId="173" fontId="42" fillId="0" borderId="14" xfId="0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3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178" fontId="41" fillId="0" borderId="16" xfId="2" applyNumberFormat="1" applyFont="1" applyBorder="1" applyAlignment="1">
      <alignment horizontal="center"/>
    </xf>
    <xf numFmtId="178" fontId="41" fillId="0" borderId="17" xfId="2" applyNumberFormat="1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1" fillId="0" borderId="23" xfId="0" applyFont="1" applyBorder="1"/>
    <xf numFmtId="173" fontId="41" fillId="0" borderId="23" xfId="0" applyNumberFormat="1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78" fontId="41" fillId="0" borderId="18" xfId="2" applyNumberFormat="1" applyFont="1" applyBorder="1" applyAlignment="1">
      <alignment horizontal="center"/>
    </xf>
    <xf numFmtId="178" fontId="41" fillId="0" borderId="19" xfId="2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1" fillId="0" borderId="20" xfId="0" applyFont="1" applyBorder="1"/>
    <xf numFmtId="173" fontId="41" fillId="0" borderId="20" xfId="0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8" fontId="41" fillId="0" borderId="25" xfId="2" applyNumberFormat="1" applyFont="1" applyBorder="1" applyAlignment="1">
      <alignment horizontal="center"/>
    </xf>
    <xf numFmtId="178" fontId="41" fillId="0" borderId="26" xfId="2" applyNumberFormat="1" applyFont="1" applyBorder="1" applyAlignment="1">
      <alignment horizontal="center"/>
    </xf>
    <xf numFmtId="179" fontId="41" fillId="0" borderId="27" xfId="2" applyNumberFormat="1" applyFont="1" applyBorder="1" applyAlignment="1">
      <alignment horizontal="center"/>
    </xf>
    <xf numFmtId="179" fontId="41" fillId="0" borderId="0" xfId="2" applyNumberFormat="1" applyFont="1" applyBorder="1" applyAlignment="1">
      <alignment horizontal="center"/>
    </xf>
    <xf numFmtId="173" fontId="8" fillId="0" borderId="0" xfId="0" applyNumberFormat="1" applyFont="1"/>
    <xf numFmtId="0" fontId="11" fillId="0" borderId="0" xfId="0" applyNumberFormat="1" applyFont="1" applyFill="1" applyBorder="1" applyAlignment="1" applyProtection="1"/>
    <xf numFmtId="179" fontId="11" fillId="0" borderId="0" xfId="2" applyNumberFormat="1" applyFont="1" applyBorder="1" applyAlignment="1">
      <alignment horizontal="right"/>
    </xf>
    <xf numFmtId="2" fontId="45" fillId="0" borderId="0" xfId="0" applyNumberFormat="1" applyFont="1"/>
    <xf numFmtId="179" fontId="44" fillId="0" borderId="0" xfId="2" applyNumberFormat="1" applyFont="1" applyBorder="1" applyAlignment="1">
      <alignment horizontal="right"/>
    </xf>
    <xf numFmtId="10" fontId="11" fillId="0" borderId="0" xfId="0" applyNumberFormat="1" applyFont="1" applyFill="1" applyBorder="1" applyAlignment="1" applyProtection="1"/>
    <xf numFmtId="10" fontId="41" fillId="0" borderId="0" xfId="2" applyNumberFormat="1" applyFont="1" applyBorder="1" applyAlignment="1">
      <alignment horizontal="right"/>
    </xf>
    <xf numFmtId="9" fontId="8" fillId="0" borderId="0" xfId="3" applyFont="1"/>
    <xf numFmtId="9" fontId="11" fillId="0" borderId="0" xfId="3" applyFont="1"/>
    <xf numFmtId="9" fontId="11" fillId="0" borderId="0" xfId="3" applyFont="1" applyFill="1" applyBorder="1" applyAlignment="1" applyProtection="1"/>
    <xf numFmtId="179" fontId="8" fillId="0" borderId="20" xfId="2" applyNumberFormat="1" applyFont="1" applyBorder="1" applyAlignment="1">
      <alignment horizontal="right"/>
    </xf>
    <xf numFmtId="179" fontId="11" fillId="0" borderId="0" xfId="0" applyNumberFormat="1" applyFont="1" applyAlignment="1">
      <alignment horizontal="right"/>
    </xf>
    <xf numFmtId="0" fontId="40" fillId="0" borderId="0" xfId="0" applyFont="1"/>
    <xf numFmtId="0" fontId="11" fillId="0" borderId="0" xfId="0" quotePrefix="1" applyFont="1"/>
    <xf numFmtId="0" fontId="44" fillId="0" borderId="0" xfId="0" applyFont="1"/>
    <xf numFmtId="0" fontId="44" fillId="0" borderId="0" xfId="0" quotePrefix="1" applyFont="1"/>
    <xf numFmtId="179" fontId="11" fillId="0" borderId="20" xfId="2" applyNumberFormat="1" applyFont="1" applyBorder="1" applyAlignment="1">
      <alignment horizontal="right"/>
    </xf>
    <xf numFmtId="179" fontId="41" fillId="0" borderId="0" xfId="0" applyNumberFormat="1" applyFont="1" applyAlignment="1">
      <alignment horizontal="right"/>
    </xf>
    <xf numFmtId="10" fontId="43" fillId="0" borderId="0" xfId="0" applyNumberFormat="1" applyFont="1" applyAlignment="1">
      <alignment horizontal="right"/>
    </xf>
    <xf numFmtId="179" fontId="11" fillId="0" borderId="0" xfId="1" applyNumberFormat="1" applyFont="1" applyBorder="1" applyAlignment="1">
      <alignment horizontal="right"/>
    </xf>
    <xf numFmtId="179" fontId="44" fillId="0" borderId="0" xfId="0" applyNumberFormat="1" applyFont="1" applyAlignment="1">
      <alignment horizontal="right"/>
    </xf>
    <xf numFmtId="179" fontId="8" fillId="0" borderId="0" xfId="2" applyNumberFormat="1" applyFont="1" applyBorder="1" applyAlignment="1">
      <alignment horizontal="right"/>
    </xf>
    <xf numFmtId="179" fontId="42" fillId="0" borderId="0" xfId="2" applyNumberFormat="1" applyFont="1" applyBorder="1" applyAlignment="1">
      <alignment horizontal="right"/>
    </xf>
    <xf numFmtId="179" fontId="1" fillId="0" borderId="0" xfId="0" applyNumberFormat="1" applyFont="1" applyAlignment="1">
      <alignment horizontal="right"/>
    </xf>
    <xf numFmtId="179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5" fillId="0" borderId="28" xfId="0" applyFont="1" applyBorder="1"/>
    <xf numFmtId="0" fontId="5" fillId="0" borderId="28" xfId="0" applyFont="1" applyBorder="1" applyAlignment="1">
      <alignment horizontal="centerContinuous"/>
    </xf>
    <xf numFmtId="0" fontId="5" fillId="0" borderId="29" xfId="0" applyFont="1" applyBorder="1" applyAlignment="1">
      <alignment horizontal="centerContinuous"/>
    </xf>
    <xf numFmtId="0" fontId="5" fillId="0" borderId="30" xfId="0" applyFont="1" applyBorder="1" applyAlignment="1">
      <alignment horizontal="centerContinuous"/>
    </xf>
    <xf numFmtId="0" fontId="5" fillId="0" borderId="31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/>
    <xf numFmtId="0" fontId="5" fillId="0" borderId="29" xfId="0" applyFont="1" applyBorder="1"/>
    <xf numFmtId="0" fontId="5" fillId="12" borderId="29" xfId="0" quotePrefix="1" applyFont="1" applyFill="1" applyBorder="1"/>
    <xf numFmtId="0" fontId="5" fillId="12" borderId="30" xfId="0" applyFont="1" applyFill="1" applyBorder="1"/>
    <xf numFmtId="0" fontId="5" fillId="12" borderId="28" xfId="0" applyFont="1" applyFill="1" applyBorder="1"/>
    <xf numFmtId="0" fontId="5" fillId="12" borderId="29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46" fillId="0" borderId="31" xfId="0" applyFont="1" applyFill="1" applyBorder="1" applyAlignment="1">
      <alignment horizontal="center"/>
    </xf>
    <xf numFmtId="16" fontId="5" fillId="0" borderId="31" xfId="0" quotePrefix="1" applyNumberFormat="1" applyFont="1" applyBorder="1" applyAlignment="1">
      <alignment horizontal="center"/>
    </xf>
    <xf numFmtId="0" fontId="5" fillId="0" borderId="31" xfId="0" quotePrefix="1" applyFont="1" applyBorder="1" applyAlignment="1">
      <alignment horizontal="center"/>
    </xf>
    <xf numFmtId="0" fontId="5" fillId="12" borderId="28" xfId="0" applyFont="1" applyFill="1" applyBorder="1" applyAlignment="1"/>
    <xf numFmtId="0" fontId="47" fillId="0" borderId="28" xfId="0" applyFont="1" applyBorder="1"/>
    <xf numFmtId="0" fontId="47" fillId="0" borderId="28" xfId="0" applyFont="1" applyBorder="1" applyAlignment="1"/>
    <xf numFmtId="0" fontId="47" fillId="0" borderId="29" xfId="0" applyFont="1" applyBorder="1"/>
    <xf numFmtId="0" fontId="47" fillId="0" borderId="30" xfId="0" applyFont="1" applyBorder="1"/>
    <xf numFmtId="0" fontId="47" fillId="12" borderId="28" xfId="0" applyFont="1" applyFill="1" applyBorder="1"/>
    <xf numFmtId="0" fontId="47" fillId="12" borderId="29" xfId="0" applyFont="1" applyFill="1" applyBorder="1"/>
    <xf numFmtId="0" fontId="47" fillId="12" borderId="30" xfId="0" applyFont="1" applyFill="1" applyBorder="1"/>
    <xf numFmtId="0" fontId="47" fillId="0" borderId="31" xfId="0" applyFont="1" applyBorder="1" applyAlignment="1">
      <alignment horizontal="center"/>
    </xf>
    <xf numFmtId="0" fontId="46" fillId="0" borderId="28" xfId="0" applyFont="1" applyBorder="1"/>
    <xf numFmtId="0" fontId="5" fillId="0" borderId="28" xfId="0" applyFont="1" applyBorder="1" applyAlignment="1">
      <alignment horizontal="center" wrapText="1"/>
    </xf>
    <xf numFmtId="2" fontId="0" fillId="0" borderId="0" xfId="0" applyNumberFormat="1"/>
    <xf numFmtId="172" fontId="48" fillId="2" borderId="0" xfId="0" applyNumberFormat="1" applyFont="1" applyFill="1" applyBorder="1"/>
    <xf numFmtId="172" fontId="49" fillId="2" borderId="0" xfId="0" applyNumberFormat="1" applyFont="1" applyFill="1" applyBorder="1"/>
    <xf numFmtId="173" fontId="6" fillId="6" borderId="9" xfId="0" applyNumberFormat="1" applyFont="1" applyFill="1" applyBorder="1" applyAlignment="1">
      <alignment horizontal="left"/>
    </xf>
    <xf numFmtId="0" fontId="46" fillId="0" borderId="29" xfId="0" applyFont="1" applyBorder="1"/>
    <xf numFmtId="0" fontId="50" fillId="5" borderId="29" xfId="0" applyFont="1" applyFill="1" applyBorder="1"/>
    <xf numFmtId="0" fontId="50" fillId="5" borderId="30" xfId="0" applyFont="1" applyFill="1" applyBorder="1"/>
    <xf numFmtId="0" fontId="8" fillId="0" borderId="0" xfId="0" quotePrefix="1" applyFont="1" applyAlignment="1">
      <alignment horizontal="left"/>
    </xf>
    <xf numFmtId="173" fontId="7" fillId="4" borderId="13" xfId="0" applyNumberFormat="1" applyFont="1" applyFill="1" applyBorder="1"/>
    <xf numFmtId="173" fontId="34" fillId="2" borderId="32" xfId="0" applyNumberFormat="1" applyFont="1" applyFill="1" applyBorder="1"/>
    <xf numFmtId="0" fontId="34" fillId="2" borderId="4" xfId="0" applyFont="1" applyFill="1" applyBorder="1"/>
    <xf numFmtId="172" fontId="34" fillId="2" borderId="4" xfId="0" applyNumberFormat="1" applyFont="1" applyFill="1" applyBorder="1"/>
    <xf numFmtId="173" fontId="34" fillId="2" borderId="4" xfId="0" applyNumberFormat="1" applyFont="1" applyFill="1" applyBorder="1"/>
    <xf numFmtId="173" fontId="34" fillId="2" borderId="12" xfId="0" applyNumberFormat="1" applyFont="1" applyFill="1" applyBorder="1"/>
    <xf numFmtId="0" fontId="47" fillId="0" borderId="0" xfId="0" applyFont="1"/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51" fillId="0" borderId="0" xfId="0" applyNumberFormat="1" applyFont="1"/>
    <xf numFmtId="178" fontId="0" fillId="0" borderId="0" xfId="0" applyNumberFormat="1"/>
    <xf numFmtId="172" fontId="52" fillId="10" borderId="8" xfId="0" applyNumberFormat="1" applyFont="1" applyFill="1" applyBorder="1" applyAlignment="1">
      <alignment horizontal="right"/>
    </xf>
    <xf numFmtId="172" fontId="3" fillId="9" borderId="11" xfId="0" applyNumberFormat="1" applyFont="1" applyFill="1" applyBorder="1" applyAlignment="1">
      <alignment horizontal="center"/>
    </xf>
    <xf numFmtId="172" fontId="3" fillId="10" borderId="11" xfId="0" applyNumberFormat="1" applyFont="1" applyFill="1" applyBorder="1" applyAlignment="1">
      <alignment horizontal="center"/>
    </xf>
    <xf numFmtId="172" fontId="26" fillId="2" borderId="11" xfId="0" applyNumberFormat="1" applyFont="1" applyFill="1" applyBorder="1" applyAlignment="1">
      <alignment horizontal="center"/>
    </xf>
    <xf numFmtId="172" fontId="6" fillId="7" borderId="11" xfId="0" applyNumberFormat="1" applyFont="1" applyFill="1" applyBorder="1" applyAlignment="1">
      <alignment horizontal="center"/>
    </xf>
    <xf numFmtId="172" fontId="6" fillId="9" borderId="11" xfId="0" applyNumberFormat="1" applyFont="1" applyFill="1" applyBorder="1" applyAlignment="1">
      <alignment horizontal="center"/>
    </xf>
    <xf numFmtId="172" fontId="6" fillId="6" borderId="13" xfId="0" applyNumberFormat="1" applyFont="1" applyFill="1" applyBorder="1" applyAlignment="1">
      <alignment horizontal="center"/>
    </xf>
    <xf numFmtId="172" fontId="6" fillId="6" borderId="11" xfId="0" applyNumberFormat="1" applyFont="1" applyFill="1" applyBorder="1" applyAlignment="1">
      <alignment horizontal="center"/>
    </xf>
    <xf numFmtId="172" fontId="6" fillId="8" borderId="11" xfId="0" applyNumberFormat="1" applyFont="1" applyFill="1" applyBorder="1" applyAlignment="1">
      <alignment horizontal="center"/>
    </xf>
    <xf numFmtId="172" fontId="6" fillId="7" borderId="12" xfId="0" applyNumberFormat="1" applyFont="1" applyFill="1" applyBorder="1" applyAlignment="1">
      <alignment horizontal="center"/>
    </xf>
    <xf numFmtId="172" fontId="53" fillId="6" borderId="8" xfId="0" applyNumberFormat="1" applyFont="1" applyFill="1" applyBorder="1" applyAlignment="1">
      <alignment horizontal="right"/>
    </xf>
    <xf numFmtId="172" fontId="8" fillId="3" borderId="4" xfId="0" applyNumberFormat="1" applyFont="1" applyFill="1" applyBorder="1"/>
    <xf numFmtId="172" fontId="11" fillId="4" borderId="9" xfId="0" applyNumberFormat="1" applyFont="1" applyFill="1" applyBorder="1"/>
    <xf numFmtId="172" fontId="7" fillId="4" borderId="9" xfId="0" applyNumberFormat="1" applyFont="1" applyFill="1" applyBorder="1"/>
    <xf numFmtId="172" fontId="35" fillId="2" borderId="0" xfId="0" applyNumberFormat="1" applyFont="1" applyFill="1" applyBorder="1"/>
    <xf numFmtId="172" fontId="7" fillId="4" borderId="4" xfId="0" applyNumberFormat="1" applyFont="1" applyFill="1" applyBorder="1"/>
    <xf numFmtId="0" fontId="0" fillId="13" borderId="0" xfId="0" applyFill="1" applyAlignment="1">
      <alignment horizontal="centerContinuous"/>
    </xf>
    <xf numFmtId="0" fontId="1" fillId="13" borderId="0" xfId="0" applyFont="1" applyFill="1" applyAlignment="1">
      <alignment horizontal="centerContinuous"/>
    </xf>
    <xf numFmtId="173" fontId="5" fillId="0" borderId="31" xfId="0" applyNumberFormat="1" applyFont="1" applyBorder="1" applyAlignment="1">
      <alignment horizontal="center"/>
    </xf>
    <xf numFmtId="173" fontId="47" fillId="0" borderId="31" xfId="0" applyNumberFormat="1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178" fontId="41" fillId="0" borderId="20" xfId="2" applyNumberFormat="1" applyFont="1" applyBorder="1" applyAlignment="1">
      <alignment horizontal="center"/>
    </xf>
    <xf numFmtId="178" fontId="41" fillId="0" borderId="34" xfId="2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1" fillId="0" borderId="0" xfId="0" applyFont="1" applyBorder="1"/>
    <xf numFmtId="173" fontId="41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178" fontId="41" fillId="0" borderId="0" xfId="2" applyNumberFormat="1" applyFont="1" applyBorder="1" applyAlignment="1">
      <alignment horizontal="center"/>
    </xf>
    <xf numFmtId="178" fontId="41" fillId="0" borderId="36" xfId="2" applyNumberFormat="1" applyFont="1" applyBorder="1" applyAlignment="1">
      <alignment horizontal="center"/>
    </xf>
    <xf numFmtId="0" fontId="42" fillId="0" borderId="37" xfId="0" applyFont="1" applyBorder="1" applyAlignment="1">
      <alignment horizontal="center"/>
    </xf>
    <xf numFmtId="0" fontId="41" fillId="0" borderId="9" xfId="0" applyFont="1" applyBorder="1"/>
    <xf numFmtId="173" fontId="41" fillId="0" borderId="9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178" fontId="41" fillId="0" borderId="9" xfId="2" applyNumberFormat="1" applyFont="1" applyBorder="1" applyAlignment="1">
      <alignment horizontal="center"/>
    </xf>
    <xf numFmtId="178" fontId="41" fillId="0" borderId="38" xfId="2" applyNumberFormat="1" applyFont="1" applyBorder="1" applyAlignment="1">
      <alignment horizontal="center"/>
    </xf>
    <xf numFmtId="9" fontId="54" fillId="0" borderId="0" xfId="3" applyFont="1" applyAlignment="1">
      <alignment horizontal="center"/>
    </xf>
    <xf numFmtId="173" fontId="55" fillId="0" borderId="20" xfId="0" applyNumberFormat="1" applyFont="1" applyBorder="1" applyAlignment="1">
      <alignment horizontal="center"/>
    </xf>
    <xf numFmtId="173" fontId="55" fillId="0" borderId="0" xfId="0" applyNumberFormat="1" applyFont="1" applyBorder="1" applyAlignment="1">
      <alignment horizontal="center"/>
    </xf>
    <xf numFmtId="173" fontId="55" fillId="0" borderId="9" xfId="0" applyNumberFormat="1" applyFont="1" applyBorder="1" applyAlignment="1">
      <alignment horizontal="center"/>
    </xf>
    <xf numFmtId="167" fontId="56" fillId="0" borderId="0" xfId="0" applyNumberFormat="1" applyFont="1" applyAlignment="1">
      <alignment horizontal="center"/>
    </xf>
    <xf numFmtId="167" fontId="10" fillId="0" borderId="0" xfId="0" applyNumberFormat="1" applyFont="1" applyFill="1" applyBorder="1" applyAlignment="1"/>
    <xf numFmtId="0" fontId="39" fillId="0" borderId="0" xfId="0" quotePrefix="1" applyFont="1" applyAlignment="1">
      <alignment horizontal="left"/>
    </xf>
    <xf numFmtId="177" fontId="4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" fillId="14" borderId="0" xfId="0" applyFont="1" applyFill="1" applyAlignment="1">
      <alignment horizontal="centerContinuous"/>
    </xf>
    <xf numFmtId="0" fontId="0" fillId="14" borderId="0" xfId="0" applyFill="1" applyAlignment="1">
      <alignment horizontal="centerContinuous"/>
    </xf>
    <xf numFmtId="0" fontId="23" fillId="0" borderId="0" xfId="0" applyFont="1" applyAlignment="1">
      <alignment horizontal="centerContinuous"/>
    </xf>
    <xf numFmtId="0" fontId="40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172" fontId="11" fillId="0" borderId="0" xfId="0" applyNumberFormat="1" applyFont="1"/>
    <xf numFmtId="0" fontId="58" fillId="0" borderId="0" xfId="0" applyFont="1" applyAlignment="1">
      <alignment horizontal="centerContinuous" wrapText="1"/>
    </xf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0" fontId="39" fillId="0" borderId="0" xfId="0" applyFont="1" applyAlignment="1">
      <alignment horizontal="right"/>
    </xf>
    <xf numFmtId="0" fontId="1" fillId="15" borderId="0" xfId="0" applyFont="1" applyFill="1" applyAlignment="1">
      <alignment horizontal="centerContinuous"/>
    </xf>
    <xf numFmtId="0" fontId="0" fillId="15" borderId="0" xfId="0" applyFill="1" applyAlignment="1">
      <alignment horizontal="centerContinuous"/>
    </xf>
    <xf numFmtId="0" fontId="1" fillId="16" borderId="39" xfId="0" applyFont="1" applyFill="1" applyBorder="1"/>
    <xf numFmtId="0" fontId="0" fillId="16" borderId="40" xfId="0" applyFill="1" applyBorder="1"/>
    <xf numFmtId="0" fontId="58" fillId="0" borderId="21" xfId="0" applyFont="1" applyBorder="1" applyAlignment="1">
      <alignment horizontal="centerContinuous" wrapText="1"/>
    </xf>
    <xf numFmtId="0" fontId="0" fillId="0" borderId="17" xfId="0" applyBorder="1"/>
    <xf numFmtId="0" fontId="0" fillId="0" borderId="21" xfId="0" applyBorder="1"/>
    <xf numFmtId="166" fontId="0" fillId="0" borderId="21" xfId="0" applyNumberFormat="1" applyBorder="1"/>
    <xf numFmtId="0" fontId="32" fillId="0" borderId="17" xfId="0" applyFont="1" applyBorder="1"/>
    <xf numFmtId="166" fontId="51" fillId="0" borderId="21" xfId="0" applyNumberFormat="1" applyFont="1" applyBorder="1"/>
    <xf numFmtId="166" fontId="0" fillId="0" borderId="17" xfId="0" applyNumberFormat="1" applyBorder="1" applyAlignment="1">
      <alignment horizontal="center"/>
    </xf>
    <xf numFmtId="0" fontId="47" fillId="0" borderId="17" xfId="0" applyFont="1" applyBorder="1"/>
    <xf numFmtId="166" fontId="0" fillId="0" borderId="17" xfId="0" quotePrefix="1" applyNumberFormat="1" applyBorder="1" applyAlignment="1">
      <alignment horizontal="center"/>
    </xf>
    <xf numFmtId="0" fontId="0" fillId="0" borderId="17" xfId="0" quotePrefix="1" applyBorder="1" applyAlignment="1">
      <alignment horizontal="left"/>
    </xf>
    <xf numFmtId="0" fontId="27" fillId="0" borderId="17" xfId="0" applyFont="1" applyBorder="1"/>
    <xf numFmtId="166" fontId="0" fillId="0" borderId="22" xfId="0" applyNumberFormat="1" applyBorder="1"/>
    <xf numFmtId="0" fontId="0" fillId="0" borderId="19" xfId="0" applyBorder="1"/>
    <xf numFmtId="0" fontId="11" fillId="0" borderId="0" xfId="0" applyFont="1" applyAlignment="1">
      <alignment horizontal="center"/>
    </xf>
    <xf numFmtId="182" fontId="39" fillId="0" borderId="0" xfId="0" applyNumberFormat="1" applyFont="1" applyAlignment="1">
      <alignment horizontal="left"/>
    </xf>
    <xf numFmtId="0" fontId="21" fillId="0" borderId="0" xfId="0" applyFont="1"/>
    <xf numFmtId="179" fontId="21" fillId="0" borderId="0" xfId="0" applyNumberFormat="1" applyFont="1"/>
    <xf numFmtId="182" fontId="21" fillId="0" borderId="0" xfId="0" applyNumberFormat="1" applyFont="1"/>
    <xf numFmtId="166" fontId="32" fillId="0" borderId="0" xfId="0" applyNumberFormat="1" applyFont="1" applyAlignment="1">
      <alignment horizontal="center"/>
    </xf>
    <xf numFmtId="166" fontId="32" fillId="0" borderId="0" xfId="0" quotePrefix="1" applyNumberFormat="1" applyFont="1" applyAlignment="1">
      <alignment horizontal="center"/>
    </xf>
    <xf numFmtId="0" fontId="47" fillId="0" borderId="0" xfId="0" applyFont="1" applyAlignment="1">
      <alignment horizontal="right"/>
    </xf>
    <xf numFmtId="182" fontId="47" fillId="0" borderId="0" xfId="0" applyNumberFormat="1" applyFont="1"/>
    <xf numFmtId="4" fontId="0" fillId="0" borderId="0" xfId="0" applyNumberFormat="1"/>
    <xf numFmtId="4" fontId="0" fillId="0" borderId="21" xfId="0" applyNumberFormat="1" applyBorder="1"/>
    <xf numFmtId="4" fontId="0" fillId="0" borderId="17" xfId="0" applyNumberFormat="1" applyBorder="1"/>
    <xf numFmtId="181" fontId="0" fillId="0" borderId="0" xfId="0" applyNumberFormat="1"/>
    <xf numFmtId="172" fontId="8" fillId="0" borderId="16" xfId="0" applyNumberFormat="1" applyFont="1" applyBorder="1" applyAlignment="1">
      <alignment horizontal="right"/>
    </xf>
    <xf numFmtId="172" fontId="8" fillId="0" borderId="41" xfId="0" applyNumberFormat="1" applyFont="1" applyBorder="1"/>
    <xf numFmtId="172" fontId="8" fillId="0" borderId="17" xfId="0" applyNumberFormat="1" applyFont="1" applyBorder="1"/>
    <xf numFmtId="173" fontId="56" fillId="0" borderId="0" xfId="0" applyNumberFormat="1" applyFont="1" applyAlignment="1">
      <alignment horizontal="center"/>
    </xf>
    <xf numFmtId="173" fontId="56" fillId="0" borderId="23" xfId="0" applyNumberFormat="1" applyFont="1" applyBorder="1" applyAlignment="1">
      <alignment horizontal="center"/>
    </xf>
    <xf numFmtId="172" fontId="59" fillId="7" borderId="8" xfId="0" applyNumberFormat="1" applyFont="1" applyFill="1" applyBorder="1" applyAlignment="1">
      <alignment horizontal="right"/>
    </xf>
    <xf numFmtId="172" fontId="60" fillId="7" borderId="8" xfId="0" applyNumberFormat="1" applyFont="1" applyFill="1" applyBorder="1" applyAlignment="1">
      <alignment horizontal="right"/>
    </xf>
    <xf numFmtId="166" fontId="61" fillId="0" borderId="0" xfId="0" applyNumberFormat="1" applyFont="1"/>
    <xf numFmtId="166" fontId="46" fillId="0" borderId="0" xfId="0" applyNumberFormat="1" applyFont="1"/>
    <xf numFmtId="0" fontId="62" fillId="0" borderId="0" xfId="0" quotePrefix="1" applyFont="1" applyAlignment="1">
      <alignment horizontal="left"/>
    </xf>
    <xf numFmtId="10" fontId="56" fillId="0" borderId="0" xfId="0" applyNumberFormat="1" applyFont="1" applyAlignment="1">
      <alignment horizontal="right"/>
    </xf>
    <xf numFmtId="10" fontId="43" fillId="0" borderId="0" xfId="2" quotePrefix="1" applyNumberFormat="1" applyFont="1" applyBorder="1" applyAlignment="1">
      <alignment horizontal="right"/>
    </xf>
    <xf numFmtId="179" fontId="39" fillId="0" borderId="16" xfId="0" applyNumberFormat="1" applyFont="1" applyBorder="1"/>
    <xf numFmtId="10" fontId="41" fillId="0" borderId="0" xfId="3" applyNumberFormat="1" applyFont="1" applyBorder="1" applyAlignment="1">
      <alignment horizontal="right"/>
    </xf>
    <xf numFmtId="10" fontId="41" fillId="0" borderId="0" xfId="3" applyNumberFormat="1" applyFont="1" applyAlignment="1">
      <alignment horizontal="right"/>
    </xf>
    <xf numFmtId="10" fontId="43" fillId="0" borderId="0" xfId="3" applyNumberFormat="1" applyFont="1" applyAlignment="1">
      <alignment horizontal="right"/>
    </xf>
    <xf numFmtId="166" fontId="51" fillId="0" borderId="0" xfId="0" applyNumberFormat="1" applyFont="1" applyBorder="1"/>
    <xf numFmtId="179" fontId="63" fillId="0" borderId="0" xfId="0" applyNumberFormat="1" applyFont="1"/>
    <xf numFmtId="180" fontId="64" fillId="0" borderId="0" xfId="0" applyNumberFormat="1" applyFont="1"/>
    <xf numFmtId="0" fontId="7" fillId="14" borderId="0" xfId="0" applyFont="1" applyFill="1"/>
    <xf numFmtId="0" fontId="42" fillId="0" borderId="23" xfId="0" applyFont="1" applyBorder="1" applyAlignment="1">
      <alignment horizontal="left"/>
    </xf>
    <xf numFmtId="172" fontId="64" fillId="0" borderId="16" xfId="0" applyNumberFormat="1" applyFont="1" applyBorder="1"/>
    <xf numFmtId="178" fontId="64" fillId="0" borderId="0" xfId="0" applyNumberFormat="1" applyFont="1"/>
    <xf numFmtId="178" fontId="66" fillId="0" borderId="17" xfId="2" applyNumberFormat="1" applyFont="1" applyBorder="1" applyAlignment="1">
      <alignment horizontal="center"/>
    </xf>
    <xf numFmtId="179" fontId="66" fillId="0" borderId="0" xfId="2" applyNumberFormat="1" applyFont="1" applyBorder="1" applyAlignment="1">
      <alignment horizontal="center"/>
    </xf>
    <xf numFmtId="179" fontId="67" fillId="0" borderId="0" xfId="2" applyNumberFormat="1" applyFont="1" applyBorder="1" applyAlignment="1">
      <alignment horizontal="right"/>
    </xf>
    <xf numFmtId="173" fontId="66" fillId="0" borderId="20" xfId="0" applyNumberFormat="1" applyFont="1" applyBorder="1" applyAlignment="1">
      <alignment horizontal="center"/>
    </xf>
    <xf numFmtId="173" fontId="66" fillId="0" borderId="0" xfId="0" applyNumberFormat="1" applyFont="1" applyBorder="1" applyAlignment="1">
      <alignment horizontal="center"/>
    </xf>
    <xf numFmtId="185" fontId="61" fillId="0" borderId="0" xfId="0" applyNumberFormat="1" applyFont="1"/>
    <xf numFmtId="172" fontId="63" fillId="2" borderId="0" xfId="0" applyNumberFormat="1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BE5EDC69-91DF-42B3-BB44-626A8E033D70}"/>
            </a:ext>
          </a:extLst>
        </xdr:cNvPr>
        <xdr:cNvSpPr>
          <a:spLocks noChangeShapeType="1"/>
        </xdr:cNvSpPr>
      </xdr:nvSpPr>
      <xdr:spPr bwMode="auto">
        <a:xfrm>
          <a:off x="38766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136</xdr:row>
      <xdr:rowOff>0</xdr:rowOff>
    </xdr:from>
    <xdr:to>
      <xdr:col>8</xdr:col>
      <xdr:colOff>0</xdr:colOff>
      <xdr:row>136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CE14BB62-6916-4158-8D74-E6C45D2C6B9D}"/>
            </a:ext>
          </a:extLst>
        </xdr:cNvPr>
        <xdr:cNvSpPr>
          <a:spLocks noChangeShapeType="1"/>
        </xdr:cNvSpPr>
      </xdr:nvSpPr>
      <xdr:spPr bwMode="auto">
        <a:xfrm>
          <a:off x="477202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136</xdr:row>
      <xdr:rowOff>0</xdr:rowOff>
    </xdr:from>
    <xdr:to>
      <xdr:col>10</xdr:col>
      <xdr:colOff>0</xdr:colOff>
      <xdr:row>136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920539E8-79EA-4101-A232-F731A0C55213}"/>
            </a:ext>
          </a:extLst>
        </xdr:cNvPr>
        <xdr:cNvSpPr>
          <a:spLocks noChangeShapeType="1"/>
        </xdr:cNvSpPr>
      </xdr:nvSpPr>
      <xdr:spPr bwMode="auto">
        <a:xfrm>
          <a:off x="66579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0</xdr:colOff>
      <xdr:row>136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A1A006D9-C1BD-4206-87BA-880D0850AB1A}"/>
            </a:ext>
          </a:extLst>
        </xdr:cNvPr>
        <xdr:cNvSpPr>
          <a:spLocks noChangeShapeType="1"/>
        </xdr:cNvSpPr>
      </xdr:nvSpPr>
      <xdr:spPr bwMode="auto">
        <a:xfrm>
          <a:off x="66675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136</xdr:row>
      <xdr:rowOff>0</xdr:rowOff>
    </xdr:from>
    <xdr:to>
      <xdr:col>6</xdr:col>
      <xdr:colOff>0</xdr:colOff>
      <xdr:row>136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5E19D52C-299C-4E67-96AB-1E72FE8B55D9}"/>
            </a:ext>
          </a:extLst>
        </xdr:cNvPr>
        <xdr:cNvSpPr>
          <a:spLocks noChangeShapeType="1"/>
        </xdr:cNvSpPr>
      </xdr:nvSpPr>
      <xdr:spPr bwMode="auto">
        <a:xfrm>
          <a:off x="393382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136</xdr:row>
      <xdr:rowOff>0</xdr:rowOff>
    </xdr:from>
    <xdr:to>
      <xdr:col>8</xdr:col>
      <xdr:colOff>0</xdr:colOff>
      <xdr:row>136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0CE00F07-C39A-4D8A-8DA0-1F2E32850F86}"/>
            </a:ext>
          </a:extLst>
        </xdr:cNvPr>
        <xdr:cNvSpPr>
          <a:spLocks noChangeShapeType="1"/>
        </xdr:cNvSpPr>
      </xdr:nvSpPr>
      <xdr:spPr bwMode="auto">
        <a:xfrm>
          <a:off x="477202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136</xdr:row>
      <xdr:rowOff>0</xdr:rowOff>
    </xdr:from>
    <xdr:to>
      <xdr:col>8</xdr:col>
      <xdr:colOff>0</xdr:colOff>
      <xdr:row>136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B314C4FF-BD90-422C-930A-FBC2D68BFECB}"/>
            </a:ext>
          </a:extLst>
        </xdr:cNvPr>
        <xdr:cNvSpPr>
          <a:spLocks noChangeShapeType="1"/>
        </xdr:cNvSpPr>
      </xdr:nvSpPr>
      <xdr:spPr bwMode="auto">
        <a:xfrm>
          <a:off x="477202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DC6DD2EC-D5A6-4BD5-9198-B616BC01EABF}"/>
            </a:ext>
          </a:extLst>
        </xdr:cNvPr>
        <xdr:cNvSpPr>
          <a:spLocks noChangeShapeType="1"/>
        </xdr:cNvSpPr>
      </xdr:nvSpPr>
      <xdr:spPr bwMode="auto">
        <a:xfrm>
          <a:off x="2371725" y="24869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0</xdr:colOff>
      <xdr:row>136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4EAD36DE-0008-4D02-A384-7750ADE64CD4}"/>
            </a:ext>
          </a:extLst>
        </xdr:cNvPr>
        <xdr:cNvSpPr>
          <a:spLocks noChangeShapeType="1"/>
        </xdr:cNvSpPr>
      </xdr:nvSpPr>
      <xdr:spPr bwMode="auto">
        <a:xfrm>
          <a:off x="43719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136</xdr:row>
      <xdr:rowOff>0</xdr:rowOff>
    </xdr:from>
    <xdr:to>
      <xdr:col>9</xdr:col>
      <xdr:colOff>0</xdr:colOff>
      <xdr:row>136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756A2E55-3F6A-4ED1-8DAB-61F55DD9EA8F}"/>
            </a:ext>
          </a:extLst>
        </xdr:cNvPr>
        <xdr:cNvSpPr>
          <a:spLocks noChangeShapeType="1"/>
        </xdr:cNvSpPr>
      </xdr:nvSpPr>
      <xdr:spPr bwMode="auto">
        <a:xfrm>
          <a:off x="57150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136</xdr:row>
      <xdr:rowOff>0</xdr:rowOff>
    </xdr:from>
    <xdr:to>
      <xdr:col>10</xdr:col>
      <xdr:colOff>0</xdr:colOff>
      <xdr:row>136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C30CD424-57A5-4B82-8254-6C8ABA845742}"/>
            </a:ext>
          </a:extLst>
        </xdr:cNvPr>
        <xdr:cNvSpPr>
          <a:spLocks noChangeShapeType="1"/>
        </xdr:cNvSpPr>
      </xdr:nvSpPr>
      <xdr:spPr bwMode="auto">
        <a:xfrm>
          <a:off x="66579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136</xdr:row>
      <xdr:rowOff>0</xdr:rowOff>
    </xdr:from>
    <xdr:to>
      <xdr:col>5</xdr:col>
      <xdr:colOff>0</xdr:colOff>
      <xdr:row>136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AD27614E-9F1F-440C-A5E0-BEC9492BCEA7}"/>
            </a:ext>
          </a:extLst>
        </xdr:cNvPr>
        <xdr:cNvSpPr>
          <a:spLocks noChangeShapeType="1"/>
        </xdr:cNvSpPr>
      </xdr:nvSpPr>
      <xdr:spPr bwMode="auto">
        <a:xfrm>
          <a:off x="38766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0</xdr:colOff>
      <xdr:row>136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704AECA5-4C7F-4A82-825B-A13D4498632D}"/>
            </a:ext>
          </a:extLst>
        </xdr:cNvPr>
        <xdr:cNvSpPr>
          <a:spLocks noChangeShapeType="1"/>
        </xdr:cNvSpPr>
      </xdr:nvSpPr>
      <xdr:spPr bwMode="auto">
        <a:xfrm>
          <a:off x="43719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0</xdr:colOff>
      <xdr:row>136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7CAE625B-E048-4BE0-8DD9-064E906862FE}"/>
            </a:ext>
          </a:extLst>
        </xdr:cNvPr>
        <xdr:cNvSpPr>
          <a:spLocks noChangeShapeType="1"/>
        </xdr:cNvSpPr>
      </xdr:nvSpPr>
      <xdr:spPr bwMode="auto">
        <a:xfrm>
          <a:off x="4371975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0</xdr:colOff>
      <xdr:row>136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230059C5-ABA3-4B6F-91CE-B8CE37CB3310}"/>
            </a:ext>
          </a:extLst>
        </xdr:cNvPr>
        <xdr:cNvSpPr>
          <a:spLocks noChangeShapeType="1"/>
        </xdr:cNvSpPr>
      </xdr:nvSpPr>
      <xdr:spPr bwMode="auto">
        <a:xfrm>
          <a:off x="66675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0</xdr:colOff>
      <xdr:row>136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541AF5ED-9A71-4F18-8F9E-79BFB39B83AD}"/>
            </a:ext>
          </a:extLst>
        </xdr:cNvPr>
        <xdr:cNvSpPr>
          <a:spLocks noChangeShapeType="1"/>
        </xdr:cNvSpPr>
      </xdr:nvSpPr>
      <xdr:spPr bwMode="auto">
        <a:xfrm>
          <a:off x="66675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0</xdr:colOff>
      <xdr:row>136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B1AF9F94-8BFA-43B8-8AE6-18B0A8299D45}"/>
            </a:ext>
          </a:extLst>
        </xdr:cNvPr>
        <xdr:cNvSpPr>
          <a:spLocks noChangeShapeType="1"/>
        </xdr:cNvSpPr>
      </xdr:nvSpPr>
      <xdr:spPr bwMode="auto">
        <a:xfrm>
          <a:off x="66675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136</xdr:row>
      <xdr:rowOff>0</xdr:rowOff>
    </xdr:from>
    <xdr:to>
      <xdr:col>13</xdr:col>
      <xdr:colOff>0</xdr:colOff>
      <xdr:row>136</xdr:row>
      <xdr:rowOff>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AD91C8B4-E037-41DB-BF73-7D4941D765CD}"/>
            </a:ext>
          </a:extLst>
        </xdr:cNvPr>
        <xdr:cNvSpPr>
          <a:spLocks noChangeShapeType="1"/>
        </xdr:cNvSpPr>
      </xdr:nvSpPr>
      <xdr:spPr bwMode="auto">
        <a:xfrm>
          <a:off x="762000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0</xdr:colOff>
      <xdr:row>136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27D2792B-A36E-45D8-A20B-DF324E466010}"/>
            </a:ext>
          </a:extLst>
        </xdr:cNvPr>
        <xdr:cNvSpPr>
          <a:spLocks noChangeShapeType="1"/>
        </xdr:cNvSpPr>
      </xdr:nvSpPr>
      <xdr:spPr bwMode="auto">
        <a:xfrm>
          <a:off x="9505950" y="236696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143</xdr:row>
      <xdr:rowOff>0</xdr:rowOff>
    </xdr:from>
    <xdr:to>
      <xdr:col>16</xdr:col>
      <xdr:colOff>0</xdr:colOff>
      <xdr:row>143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A9979EF4-05B6-4592-A885-7BCA0D6566B5}"/>
            </a:ext>
          </a:extLst>
        </xdr:cNvPr>
        <xdr:cNvSpPr>
          <a:spLocks noChangeShapeType="1"/>
        </xdr:cNvSpPr>
      </xdr:nvSpPr>
      <xdr:spPr bwMode="auto">
        <a:xfrm>
          <a:off x="10448925" y="248697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107</xdr:row>
      <xdr:rowOff>0</xdr:rowOff>
    </xdr:from>
    <xdr:to>
      <xdr:col>20</xdr:col>
      <xdr:colOff>0</xdr:colOff>
      <xdr:row>107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390A1785-FD5E-4542-B852-B5833D27EF98}"/>
            </a:ext>
          </a:extLst>
        </xdr:cNvPr>
        <xdr:cNvSpPr>
          <a:spLocks noChangeShapeType="1"/>
        </xdr:cNvSpPr>
      </xdr:nvSpPr>
      <xdr:spPr bwMode="auto">
        <a:xfrm>
          <a:off x="1224915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107</xdr:row>
      <xdr:rowOff>0</xdr:rowOff>
    </xdr:from>
    <xdr:to>
      <xdr:col>22</xdr:col>
      <xdr:colOff>0</xdr:colOff>
      <xdr:row>107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022B21BB-CD26-448C-9739-5D3F133FD546}"/>
            </a:ext>
          </a:extLst>
        </xdr:cNvPr>
        <xdr:cNvSpPr>
          <a:spLocks noChangeShapeType="1"/>
        </xdr:cNvSpPr>
      </xdr:nvSpPr>
      <xdr:spPr bwMode="auto">
        <a:xfrm>
          <a:off x="1371600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107</xdr:row>
      <xdr:rowOff>0</xdr:rowOff>
    </xdr:from>
    <xdr:to>
      <xdr:col>20</xdr:col>
      <xdr:colOff>0</xdr:colOff>
      <xdr:row>107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282B26A6-3C7A-40E1-8D15-9D3D5553608C}"/>
            </a:ext>
          </a:extLst>
        </xdr:cNvPr>
        <xdr:cNvSpPr>
          <a:spLocks noChangeShapeType="1"/>
        </xdr:cNvSpPr>
      </xdr:nvSpPr>
      <xdr:spPr bwMode="auto">
        <a:xfrm>
          <a:off x="1224915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107</xdr:row>
      <xdr:rowOff>0</xdr:rowOff>
    </xdr:from>
    <xdr:to>
      <xdr:col>20</xdr:col>
      <xdr:colOff>0</xdr:colOff>
      <xdr:row>107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3DED66B6-53B9-48CD-891E-E24467C9B647}"/>
            </a:ext>
          </a:extLst>
        </xdr:cNvPr>
        <xdr:cNvSpPr>
          <a:spLocks noChangeShapeType="1"/>
        </xdr:cNvSpPr>
      </xdr:nvSpPr>
      <xdr:spPr bwMode="auto">
        <a:xfrm>
          <a:off x="1224915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107</xdr:row>
      <xdr:rowOff>0</xdr:rowOff>
    </xdr:from>
    <xdr:to>
      <xdr:col>24</xdr:col>
      <xdr:colOff>0</xdr:colOff>
      <xdr:row>107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73898E7A-8914-403C-8691-4E1CAB2BC006}"/>
            </a:ext>
          </a:extLst>
        </xdr:cNvPr>
        <xdr:cNvSpPr>
          <a:spLocks noChangeShapeType="1"/>
        </xdr:cNvSpPr>
      </xdr:nvSpPr>
      <xdr:spPr bwMode="auto">
        <a:xfrm>
          <a:off x="1518285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107</xdr:row>
      <xdr:rowOff>0</xdr:rowOff>
    </xdr:from>
    <xdr:to>
      <xdr:col>24</xdr:col>
      <xdr:colOff>0</xdr:colOff>
      <xdr:row>107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BB1F5C37-FA4F-430E-9793-77F251E213A4}"/>
            </a:ext>
          </a:extLst>
        </xdr:cNvPr>
        <xdr:cNvSpPr>
          <a:spLocks noChangeShapeType="1"/>
        </xdr:cNvSpPr>
      </xdr:nvSpPr>
      <xdr:spPr bwMode="auto">
        <a:xfrm>
          <a:off x="15182850" y="191166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142</xdr:row>
      <xdr:rowOff>0</xdr:rowOff>
    </xdr:from>
    <xdr:to>
      <xdr:col>43</xdr:col>
      <xdr:colOff>0</xdr:colOff>
      <xdr:row>142</xdr:row>
      <xdr:rowOff>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54230762-65CA-442F-AD6F-E7045EDE32E3}"/>
            </a:ext>
          </a:extLst>
        </xdr:cNvPr>
        <xdr:cNvSpPr>
          <a:spLocks noChangeShapeType="1"/>
        </xdr:cNvSpPr>
      </xdr:nvSpPr>
      <xdr:spPr bwMode="auto">
        <a:xfrm>
          <a:off x="19602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142</xdr:row>
      <xdr:rowOff>0</xdr:rowOff>
    </xdr:from>
    <xdr:to>
      <xdr:col>46</xdr:col>
      <xdr:colOff>0</xdr:colOff>
      <xdr:row>142</xdr:row>
      <xdr:rowOff>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DB282D3-9360-4BDC-ABCB-B6A0CD26032A}"/>
            </a:ext>
          </a:extLst>
        </xdr:cNvPr>
        <xdr:cNvSpPr>
          <a:spLocks noChangeShapeType="1"/>
        </xdr:cNvSpPr>
      </xdr:nvSpPr>
      <xdr:spPr bwMode="auto">
        <a:xfrm>
          <a:off x="21888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142</xdr:row>
      <xdr:rowOff>0</xdr:rowOff>
    </xdr:from>
    <xdr:to>
      <xdr:col>48</xdr:col>
      <xdr:colOff>0</xdr:colOff>
      <xdr:row>142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EBF04897-DC98-478A-8C90-ECB169DF39B0}"/>
            </a:ext>
          </a:extLst>
        </xdr:cNvPr>
        <xdr:cNvSpPr>
          <a:spLocks noChangeShapeType="1"/>
        </xdr:cNvSpPr>
      </xdr:nvSpPr>
      <xdr:spPr bwMode="auto">
        <a:xfrm>
          <a:off x="23412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142</xdr:row>
      <xdr:rowOff>0</xdr:rowOff>
    </xdr:from>
    <xdr:to>
      <xdr:col>49</xdr:col>
      <xdr:colOff>0</xdr:colOff>
      <xdr:row>142</xdr:row>
      <xdr:rowOff>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43A9984D-4B75-47E2-9F84-274F28B59FFB}"/>
            </a:ext>
          </a:extLst>
        </xdr:cNvPr>
        <xdr:cNvSpPr>
          <a:spLocks noChangeShapeType="1"/>
        </xdr:cNvSpPr>
      </xdr:nvSpPr>
      <xdr:spPr bwMode="auto">
        <a:xfrm>
          <a:off x="24174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0</xdr:colOff>
      <xdr:row>142</xdr:row>
      <xdr:rowOff>0</xdr:rowOff>
    </xdr:from>
    <xdr:to>
      <xdr:col>44</xdr:col>
      <xdr:colOff>0</xdr:colOff>
      <xdr:row>142</xdr:row>
      <xdr:rowOff>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3465079C-C23E-4B02-8B94-D9EB4CEAAC7B}"/>
            </a:ext>
          </a:extLst>
        </xdr:cNvPr>
        <xdr:cNvSpPr>
          <a:spLocks noChangeShapeType="1"/>
        </xdr:cNvSpPr>
      </xdr:nvSpPr>
      <xdr:spPr bwMode="auto">
        <a:xfrm>
          <a:off x="20364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142</xdr:row>
      <xdr:rowOff>0</xdr:rowOff>
    </xdr:from>
    <xdr:to>
      <xdr:col>46</xdr:col>
      <xdr:colOff>0</xdr:colOff>
      <xdr:row>142</xdr:row>
      <xdr:rowOff>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54061ECC-F522-4F58-A576-340B398A5A4D}"/>
            </a:ext>
          </a:extLst>
        </xdr:cNvPr>
        <xdr:cNvSpPr>
          <a:spLocks noChangeShapeType="1"/>
        </xdr:cNvSpPr>
      </xdr:nvSpPr>
      <xdr:spPr bwMode="auto">
        <a:xfrm>
          <a:off x="21888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46</xdr:col>
      <xdr:colOff>0</xdr:colOff>
      <xdr:row>142</xdr:row>
      <xdr:rowOff>0</xdr:rowOff>
    </xdr:from>
    <xdr:to>
      <xdr:col>46</xdr:col>
      <xdr:colOff>0</xdr:colOff>
      <xdr:row>142</xdr:row>
      <xdr:rowOff>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5A13AD8-2437-4406-A5CF-561F84E5D3C7}"/>
            </a:ext>
          </a:extLst>
        </xdr:cNvPr>
        <xdr:cNvSpPr>
          <a:spLocks noChangeShapeType="1"/>
        </xdr:cNvSpPr>
      </xdr:nvSpPr>
      <xdr:spPr bwMode="auto">
        <a:xfrm>
          <a:off x="21888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142</xdr:row>
      <xdr:rowOff>0</xdr:rowOff>
    </xdr:from>
    <xdr:to>
      <xdr:col>45</xdr:col>
      <xdr:colOff>0</xdr:colOff>
      <xdr:row>142</xdr:row>
      <xdr:rowOff>0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1E9ACE25-A715-4589-A233-FE5FB9AB9391}"/>
            </a:ext>
          </a:extLst>
        </xdr:cNvPr>
        <xdr:cNvSpPr>
          <a:spLocks noChangeShapeType="1"/>
        </xdr:cNvSpPr>
      </xdr:nvSpPr>
      <xdr:spPr bwMode="auto">
        <a:xfrm>
          <a:off x="21126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47</xdr:col>
      <xdr:colOff>0</xdr:colOff>
      <xdr:row>142</xdr:row>
      <xdr:rowOff>0</xdr:rowOff>
    </xdr:from>
    <xdr:to>
      <xdr:col>47</xdr:col>
      <xdr:colOff>0</xdr:colOff>
      <xdr:row>142</xdr:row>
      <xdr:rowOff>0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048D0604-F07A-4D9D-AFFA-224F65FF477F}"/>
            </a:ext>
          </a:extLst>
        </xdr:cNvPr>
        <xdr:cNvSpPr>
          <a:spLocks noChangeShapeType="1"/>
        </xdr:cNvSpPr>
      </xdr:nvSpPr>
      <xdr:spPr bwMode="auto">
        <a:xfrm>
          <a:off x="22650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0</xdr:colOff>
      <xdr:row>142</xdr:row>
      <xdr:rowOff>0</xdr:rowOff>
    </xdr:from>
    <xdr:to>
      <xdr:col>48</xdr:col>
      <xdr:colOff>0</xdr:colOff>
      <xdr:row>142</xdr:row>
      <xdr:rowOff>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5E42E05-80A4-415B-9850-C76A29650EE5}"/>
            </a:ext>
          </a:extLst>
        </xdr:cNvPr>
        <xdr:cNvSpPr>
          <a:spLocks noChangeShapeType="1"/>
        </xdr:cNvSpPr>
      </xdr:nvSpPr>
      <xdr:spPr bwMode="auto">
        <a:xfrm>
          <a:off x="23412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142</xdr:row>
      <xdr:rowOff>0</xdr:rowOff>
    </xdr:from>
    <xdr:to>
      <xdr:col>43</xdr:col>
      <xdr:colOff>0</xdr:colOff>
      <xdr:row>142</xdr:row>
      <xdr:rowOff>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927A691A-8A83-44A0-AC80-2D47E41D2EBD}"/>
            </a:ext>
          </a:extLst>
        </xdr:cNvPr>
        <xdr:cNvSpPr>
          <a:spLocks noChangeShapeType="1"/>
        </xdr:cNvSpPr>
      </xdr:nvSpPr>
      <xdr:spPr bwMode="auto">
        <a:xfrm>
          <a:off x="19602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142</xdr:row>
      <xdr:rowOff>0</xdr:rowOff>
    </xdr:from>
    <xdr:to>
      <xdr:col>45</xdr:col>
      <xdr:colOff>0</xdr:colOff>
      <xdr:row>142</xdr:row>
      <xdr:rowOff>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91A9C5D4-2C86-44C3-AE97-283D756829AB}"/>
            </a:ext>
          </a:extLst>
        </xdr:cNvPr>
        <xdr:cNvSpPr>
          <a:spLocks noChangeShapeType="1"/>
        </xdr:cNvSpPr>
      </xdr:nvSpPr>
      <xdr:spPr bwMode="auto">
        <a:xfrm>
          <a:off x="21126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142</xdr:row>
      <xdr:rowOff>0</xdr:rowOff>
    </xdr:from>
    <xdr:to>
      <xdr:col>45</xdr:col>
      <xdr:colOff>0</xdr:colOff>
      <xdr:row>142</xdr:row>
      <xdr:rowOff>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C9417451-EAA4-465C-A138-261B3ED69559}"/>
            </a:ext>
          </a:extLst>
        </xdr:cNvPr>
        <xdr:cNvSpPr>
          <a:spLocks noChangeShapeType="1"/>
        </xdr:cNvSpPr>
      </xdr:nvSpPr>
      <xdr:spPr bwMode="auto">
        <a:xfrm>
          <a:off x="21126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142</xdr:row>
      <xdr:rowOff>0</xdr:rowOff>
    </xdr:from>
    <xdr:to>
      <xdr:col>49</xdr:col>
      <xdr:colOff>0</xdr:colOff>
      <xdr:row>142</xdr:row>
      <xdr:rowOff>0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DFD7DC80-B433-40A2-BF78-62B7CBA2BC4E}"/>
            </a:ext>
          </a:extLst>
        </xdr:cNvPr>
        <xdr:cNvSpPr>
          <a:spLocks noChangeShapeType="1"/>
        </xdr:cNvSpPr>
      </xdr:nvSpPr>
      <xdr:spPr bwMode="auto">
        <a:xfrm>
          <a:off x="24174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142</xdr:row>
      <xdr:rowOff>0</xdr:rowOff>
    </xdr:from>
    <xdr:to>
      <xdr:col>49</xdr:col>
      <xdr:colOff>0</xdr:colOff>
      <xdr:row>142</xdr:row>
      <xdr:rowOff>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828B7858-CFE5-40E0-9292-47F396D749BC}"/>
            </a:ext>
          </a:extLst>
        </xdr:cNvPr>
        <xdr:cNvSpPr>
          <a:spLocks noChangeShapeType="1"/>
        </xdr:cNvSpPr>
      </xdr:nvSpPr>
      <xdr:spPr bwMode="auto">
        <a:xfrm>
          <a:off x="24174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142</xdr:row>
      <xdr:rowOff>0</xdr:rowOff>
    </xdr:from>
    <xdr:to>
      <xdr:col>49</xdr:col>
      <xdr:colOff>0</xdr:colOff>
      <xdr:row>142</xdr:row>
      <xdr:rowOff>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DBC9CBCF-58F2-4905-AB7A-FC6BB66A6B86}"/>
            </a:ext>
          </a:extLst>
        </xdr:cNvPr>
        <xdr:cNvSpPr>
          <a:spLocks noChangeShapeType="1"/>
        </xdr:cNvSpPr>
      </xdr:nvSpPr>
      <xdr:spPr bwMode="auto">
        <a:xfrm>
          <a:off x="24174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142</xdr:row>
      <xdr:rowOff>0</xdr:rowOff>
    </xdr:from>
    <xdr:to>
      <xdr:col>51</xdr:col>
      <xdr:colOff>0</xdr:colOff>
      <xdr:row>142</xdr:row>
      <xdr:rowOff>0</xdr:rowOff>
    </xdr:to>
    <xdr:sp macro="" textlink="">
      <xdr:nvSpPr>
        <xdr:cNvPr id="2065" name="Line 17">
          <a:extLst>
            <a:ext uri="{FF2B5EF4-FFF2-40B4-BE49-F238E27FC236}">
              <a16:creationId xmlns:a16="http://schemas.microsoft.com/office/drawing/2014/main" id="{E4661211-39CC-42A4-83A8-F96031FD7810}"/>
            </a:ext>
          </a:extLst>
        </xdr:cNvPr>
        <xdr:cNvSpPr>
          <a:spLocks noChangeShapeType="1"/>
        </xdr:cNvSpPr>
      </xdr:nvSpPr>
      <xdr:spPr bwMode="auto">
        <a:xfrm>
          <a:off x="25698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53</xdr:col>
      <xdr:colOff>0</xdr:colOff>
      <xdr:row>142</xdr:row>
      <xdr:rowOff>0</xdr:rowOff>
    </xdr:from>
    <xdr:to>
      <xdr:col>53</xdr:col>
      <xdr:colOff>0</xdr:colOff>
      <xdr:row>142</xdr:row>
      <xdr:rowOff>0</xdr:rowOff>
    </xdr:to>
    <xdr:sp macro="" textlink="">
      <xdr:nvSpPr>
        <xdr:cNvPr id="2066" name="Line 18">
          <a:extLst>
            <a:ext uri="{FF2B5EF4-FFF2-40B4-BE49-F238E27FC236}">
              <a16:creationId xmlns:a16="http://schemas.microsoft.com/office/drawing/2014/main" id="{FEA0E951-23A5-4D3F-AD6A-FA987B667B2F}"/>
            </a:ext>
          </a:extLst>
        </xdr:cNvPr>
        <xdr:cNvSpPr>
          <a:spLocks noChangeShapeType="1"/>
        </xdr:cNvSpPr>
      </xdr:nvSpPr>
      <xdr:spPr bwMode="auto">
        <a:xfrm>
          <a:off x="27222450" y="25555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105</xdr:row>
      <xdr:rowOff>0</xdr:rowOff>
    </xdr:from>
    <xdr:to>
      <xdr:col>58</xdr:col>
      <xdr:colOff>0</xdr:colOff>
      <xdr:row>105</xdr:row>
      <xdr:rowOff>0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EA6AA410-063B-463B-A21F-917B4ACECD95}"/>
            </a:ext>
          </a:extLst>
        </xdr:cNvPr>
        <xdr:cNvSpPr>
          <a:spLocks noChangeShapeType="1"/>
        </xdr:cNvSpPr>
      </xdr:nvSpPr>
      <xdr:spPr bwMode="auto">
        <a:xfrm>
          <a:off x="29546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105</xdr:row>
      <xdr:rowOff>0</xdr:rowOff>
    </xdr:from>
    <xdr:to>
      <xdr:col>60</xdr:col>
      <xdr:colOff>0</xdr:colOff>
      <xdr:row>105</xdr:row>
      <xdr:rowOff>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7F2D96D6-31DD-4BCB-BD81-CB5F06F8DA6B}"/>
            </a:ext>
          </a:extLst>
        </xdr:cNvPr>
        <xdr:cNvSpPr>
          <a:spLocks noChangeShapeType="1"/>
        </xdr:cNvSpPr>
      </xdr:nvSpPr>
      <xdr:spPr bwMode="auto">
        <a:xfrm>
          <a:off x="31070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105</xdr:row>
      <xdr:rowOff>0</xdr:rowOff>
    </xdr:from>
    <xdr:to>
      <xdr:col>58</xdr:col>
      <xdr:colOff>0</xdr:colOff>
      <xdr:row>105</xdr:row>
      <xdr:rowOff>0</xdr:rowOff>
    </xdr:to>
    <xdr:sp macro="" textlink="">
      <xdr:nvSpPr>
        <xdr:cNvPr id="2069" name="Line 21">
          <a:extLst>
            <a:ext uri="{FF2B5EF4-FFF2-40B4-BE49-F238E27FC236}">
              <a16:creationId xmlns:a16="http://schemas.microsoft.com/office/drawing/2014/main" id="{6CEFC26A-9CE9-4DDF-9FE2-C0F78F74FBED}"/>
            </a:ext>
          </a:extLst>
        </xdr:cNvPr>
        <xdr:cNvSpPr>
          <a:spLocks noChangeShapeType="1"/>
        </xdr:cNvSpPr>
      </xdr:nvSpPr>
      <xdr:spPr bwMode="auto">
        <a:xfrm>
          <a:off x="29546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0</xdr:colOff>
      <xdr:row>105</xdr:row>
      <xdr:rowOff>0</xdr:rowOff>
    </xdr:from>
    <xdr:to>
      <xdr:col>58</xdr:col>
      <xdr:colOff>0</xdr:colOff>
      <xdr:row>105</xdr:row>
      <xdr:rowOff>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86FD95D7-F94B-4A10-A3DF-1BB61F3CCC63}"/>
            </a:ext>
          </a:extLst>
        </xdr:cNvPr>
        <xdr:cNvSpPr>
          <a:spLocks noChangeShapeType="1"/>
        </xdr:cNvSpPr>
      </xdr:nvSpPr>
      <xdr:spPr bwMode="auto">
        <a:xfrm>
          <a:off x="29546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0</xdr:colOff>
      <xdr:row>105</xdr:row>
      <xdr:rowOff>0</xdr:rowOff>
    </xdr:from>
    <xdr:to>
      <xdr:col>62</xdr:col>
      <xdr:colOff>0</xdr:colOff>
      <xdr:row>105</xdr:row>
      <xdr:rowOff>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6916055B-8C10-4F6D-8CE1-6C62F956D572}"/>
            </a:ext>
          </a:extLst>
        </xdr:cNvPr>
        <xdr:cNvSpPr>
          <a:spLocks noChangeShapeType="1"/>
        </xdr:cNvSpPr>
      </xdr:nvSpPr>
      <xdr:spPr bwMode="auto">
        <a:xfrm>
          <a:off x="32594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0</xdr:colOff>
      <xdr:row>105</xdr:row>
      <xdr:rowOff>0</xdr:rowOff>
    </xdr:from>
    <xdr:to>
      <xdr:col>62</xdr:col>
      <xdr:colOff>0</xdr:colOff>
      <xdr:row>105</xdr:row>
      <xdr:rowOff>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E45AF9B2-A29C-4173-B7B8-4AF7E765FA8C}"/>
            </a:ext>
          </a:extLst>
        </xdr:cNvPr>
        <xdr:cNvSpPr>
          <a:spLocks noChangeShapeType="1"/>
        </xdr:cNvSpPr>
      </xdr:nvSpPr>
      <xdr:spPr bwMode="auto">
        <a:xfrm>
          <a:off x="32594550" y="1922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B2:AB241"/>
  <sheetViews>
    <sheetView topLeftCell="F93" zoomScale="75" workbookViewId="0">
      <selection activeCell="O115" sqref="O115"/>
    </sheetView>
  </sheetViews>
  <sheetFormatPr baseColWidth="10" defaultRowHeight="12.75" outlineLevelRow="2" x14ac:dyDescent="0.2"/>
  <cols>
    <col min="1" max="1" width="4" customWidth="1"/>
    <col min="2" max="2" width="17.85546875" customWidth="1"/>
    <col min="3" max="3" width="4.42578125" customWidth="1"/>
    <col min="4" max="4" width="9.28515625" customWidth="1"/>
    <col min="5" max="5" width="22.5703125" customWidth="1"/>
    <col min="6" max="6" width="0.85546875" customWidth="1"/>
    <col min="7" max="7" width="6.5703125" customWidth="1"/>
    <col min="8" max="8" width="6" customWidth="1"/>
    <col min="9" max="10" width="14.140625" customWidth="1"/>
    <col min="11" max="12" width="0.140625" customWidth="1"/>
    <col min="13" max="17" width="14.140625" customWidth="1"/>
    <col min="18" max="18" width="9.28515625" customWidth="1"/>
    <col min="19" max="19" width="3.28515625" customWidth="1"/>
    <col min="20" max="20" width="0.28515625" style="76" customWidth="1"/>
    <col min="21" max="24" width="11" customWidth="1"/>
    <col min="25" max="25" width="9.5703125" customWidth="1"/>
  </cols>
  <sheetData>
    <row r="2" spans="2:28" ht="15.75" x14ac:dyDescent="0.25">
      <c r="B2" s="138" t="s">
        <v>0</v>
      </c>
      <c r="K2" s="177" t="s">
        <v>1</v>
      </c>
      <c r="L2" s="177"/>
      <c r="M2" s="177" t="s">
        <v>2</v>
      </c>
      <c r="N2" s="177"/>
      <c r="O2" s="178" t="s">
        <v>3</v>
      </c>
      <c r="P2" s="177"/>
      <c r="T2" s="138" t="s">
        <v>4</v>
      </c>
      <c r="X2" s="85" t="s">
        <v>3</v>
      </c>
    </row>
    <row r="3" spans="2:28" ht="13.5" thickBot="1" x14ac:dyDescent="0.25">
      <c r="I3" s="177" t="s">
        <v>5</v>
      </c>
      <c r="J3" s="177"/>
      <c r="K3" s="397" t="s">
        <v>6</v>
      </c>
      <c r="L3" s="398"/>
      <c r="M3" s="177" t="s">
        <v>7</v>
      </c>
      <c r="N3" s="177"/>
      <c r="O3" s="177" t="s">
        <v>8</v>
      </c>
      <c r="P3" s="177"/>
      <c r="T3"/>
      <c r="AA3" s="177" t="s">
        <v>9</v>
      </c>
      <c r="AB3" s="177"/>
    </row>
    <row r="4" spans="2:28" ht="16.5" x14ac:dyDescent="0.25">
      <c r="B4" s="20"/>
      <c r="C4" s="21" t="s">
        <v>10</v>
      </c>
      <c r="D4" s="21"/>
      <c r="E4" s="21" t="s">
        <v>11</v>
      </c>
      <c r="F4" s="21"/>
      <c r="G4" s="21" t="s">
        <v>12</v>
      </c>
      <c r="H4" s="21" t="s">
        <v>13</v>
      </c>
      <c r="I4" s="21" t="s">
        <v>14</v>
      </c>
      <c r="J4" s="21" t="s">
        <v>15</v>
      </c>
      <c r="K4" s="21" t="s">
        <v>14</v>
      </c>
      <c r="L4" s="21" t="s">
        <v>15</v>
      </c>
      <c r="M4" s="21" t="s">
        <v>14</v>
      </c>
      <c r="N4" s="21" t="s">
        <v>15</v>
      </c>
      <c r="O4" s="21" t="s">
        <v>14</v>
      </c>
      <c r="P4" s="21" t="s">
        <v>15</v>
      </c>
      <c r="T4" s="130"/>
      <c r="U4" s="94"/>
      <c r="V4" s="142" t="s">
        <v>16</v>
      </c>
      <c r="W4" s="143"/>
      <c r="X4" s="144" t="s">
        <v>8</v>
      </c>
      <c r="Y4" s="95"/>
    </row>
    <row r="5" spans="2:28" ht="18.75" thickBot="1" x14ac:dyDescent="0.3">
      <c r="B5" s="22" t="s">
        <v>17</v>
      </c>
      <c r="C5" s="23" t="s">
        <v>18</v>
      </c>
      <c r="D5" s="23"/>
      <c r="E5" s="23" t="s">
        <v>19</v>
      </c>
      <c r="F5" s="23"/>
      <c r="G5" s="23"/>
      <c r="H5" s="23"/>
      <c r="I5" s="93"/>
      <c r="J5" s="364">
        <f>SUM(J7:J13)+J14+J23+J29+J30+J107+J109+J118+J57</f>
        <v>125.05773533019608</v>
      </c>
      <c r="K5" s="93"/>
      <c r="L5" s="364">
        <f>SUM(L7:L13)+L14+L23+L29+L30+L107+L109+L118+L57</f>
        <v>118.45241919019608</v>
      </c>
      <c r="M5" s="93"/>
      <c r="N5" s="364">
        <f>SUM(N7:N13)+N14+N23+N29+N30+N107+N109+N118+N57</f>
        <v>118.39941919019608</v>
      </c>
      <c r="O5" s="23"/>
      <c r="P5" s="24">
        <f>SUM(P7:P13)+P14+P23+P29+P30+P107+P109+P118+P57</f>
        <v>116.17273419999998</v>
      </c>
      <c r="T5" s="139"/>
      <c r="U5" s="140"/>
      <c r="V5" s="145"/>
      <c r="W5" s="146">
        <f>SUM(W7:W13)+W14+W23+W29+W30+W107+W109</f>
        <v>109.4237342</v>
      </c>
      <c r="X5" s="147"/>
      <c r="Y5" s="141">
        <f>SUM(Y7:Y13)+Y14+Y23+Y29+Y30+Y107+Y109</f>
        <v>111.15387405714287</v>
      </c>
      <c r="AA5" t="s">
        <v>20</v>
      </c>
      <c r="AB5" s="85" t="s">
        <v>21</v>
      </c>
    </row>
    <row r="6" spans="2:28" ht="13.5" thickBot="1" x14ac:dyDescent="0.25">
      <c r="J6" s="54"/>
      <c r="L6" s="54"/>
      <c r="T6"/>
    </row>
    <row r="7" spans="2:28" ht="15" x14ac:dyDescent="0.2">
      <c r="B7" s="37" t="s">
        <v>22</v>
      </c>
      <c r="C7" s="38"/>
      <c r="D7" s="38"/>
      <c r="E7" s="39" t="s">
        <v>23</v>
      </c>
      <c r="F7" s="38"/>
      <c r="G7" s="38" t="s">
        <v>24</v>
      </c>
      <c r="H7" s="38">
        <v>2</v>
      </c>
      <c r="I7" s="60">
        <f>+'Top Level'!E7</f>
        <v>3.4000000000000002E-2</v>
      </c>
      <c r="J7" s="51">
        <f t="shared" ref="J7:J13" si="0">$H7*I7</f>
        <v>6.8000000000000005E-2</v>
      </c>
      <c r="K7" s="60">
        <f>+M7</f>
        <v>3.4000000000000002E-2</v>
      </c>
      <c r="L7" s="51">
        <f t="shared" ref="L7:L13" si="1">$H7*K7</f>
        <v>6.8000000000000005E-2</v>
      </c>
      <c r="M7" s="60">
        <f>+'Top Level'!F7</f>
        <v>3.4000000000000002E-2</v>
      </c>
      <c r="N7" s="51">
        <f t="shared" ref="N7:N13" si="2">$H7*M7</f>
        <v>6.8000000000000005E-2</v>
      </c>
      <c r="O7" s="60">
        <v>3.4000000000000002E-2</v>
      </c>
      <c r="P7" s="44">
        <f t="shared" ref="P7:P13" si="3">$H7*O7</f>
        <v>6.8000000000000005E-2</v>
      </c>
      <c r="T7" s="148">
        <v>2</v>
      </c>
      <c r="U7" s="149"/>
      <c r="V7" s="150">
        <v>3.4000000000000002E-2</v>
      </c>
      <c r="W7" s="359">
        <f t="shared" ref="W7:W13" si="4">+V7*T7</f>
        <v>6.8000000000000005E-2</v>
      </c>
      <c r="X7" s="150">
        <v>2.8000000000000001E-2</v>
      </c>
      <c r="Y7" s="151">
        <f t="shared" ref="Y7:Y13" si="5">+X7*T7</f>
        <v>5.6000000000000001E-2</v>
      </c>
      <c r="AA7" s="54">
        <f>+J7-W7</f>
        <v>0</v>
      </c>
      <c r="AB7" s="54">
        <f>+L7-W7</f>
        <v>0</v>
      </c>
    </row>
    <row r="8" spans="2:28" ht="15" x14ac:dyDescent="0.2">
      <c r="B8" s="41" t="s">
        <v>25</v>
      </c>
      <c r="C8" s="42"/>
      <c r="D8" s="42"/>
      <c r="E8" s="45" t="s">
        <v>26</v>
      </c>
      <c r="F8" s="42"/>
      <c r="G8" s="42" t="s">
        <v>27</v>
      </c>
      <c r="H8" s="42">
        <v>1</v>
      </c>
      <c r="I8" s="61">
        <f>+'Top Level'!E10</f>
        <v>7.17E-2</v>
      </c>
      <c r="J8" s="365">
        <f t="shared" si="0"/>
        <v>7.17E-2</v>
      </c>
      <c r="K8" s="61">
        <f t="shared" ref="K8:K22" si="6">+M8</f>
        <v>7.17E-2</v>
      </c>
      <c r="L8" s="366">
        <f t="shared" si="1"/>
        <v>7.17E-2</v>
      </c>
      <c r="M8" s="61">
        <f>+'Top Level'!F10</f>
        <v>7.17E-2</v>
      </c>
      <c r="N8" s="366">
        <f t="shared" si="2"/>
        <v>7.17E-2</v>
      </c>
      <c r="O8" s="61">
        <v>7.1999999999999995E-2</v>
      </c>
      <c r="P8" s="46">
        <f t="shared" si="3"/>
        <v>7.1999999999999995E-2</v>
      </c>
      <c r="T8" s="131">
        <v>1</v>
      </c>
      <c r="U8" s="96" t="s">
        <v>24</v>
      </c>
      <c r="V8" s="97">
        <v>5.6599999999999998E-2</v>
      </c>
      <c r="W8" s="360">
        <f t="shared" si="4"/>
        <v>5.6599999999999998E-2</v>
      </c>
      <c r="X8" s="97">
        <v>7.17E-2</v>
      </c>
      <c r="Y8" s="98">
        <f t="shared" si="5"/>
        <v>7.17E-2</v>
      </c>
      <c r="AA8" s="54">
        <f t="shared" ref="AA8:AA22" si="7">+J8-W8</f>
        <v>1.5100000000000002E-2</v>
      </c>
      <c r="AB8" s="54">
        <f t="shared" ref="AB8:AB22" si="8">+L8-W8</f>
        <v>1.5100000000000002E-2</v>
      </c>
    </row>
    <row r="9" spans="2:28" ht="15" x14ac:dyDescent="0.2">
      <c r="B9" s="41" t="s">
        <v>28</v>
      </c>
      <c r="C9" s="42"/>
      <c r="D9" s="42"/>
      <c r="E9" s="45" t="s">
        <v>29</v>
      </c>
      <c r="F9" s="42"/>
      <c r="G9" s="42" t="s">
        <v>30</v>
      </c>
      <c r="H9" s="42">
        <v>1</v>
      </c>
      <c r="I9" s="61">
        <f>+'Top Level'!E13</f>
        <v>2.7E-2</v>
      </c>
      <c r="J9" s="366">
        <f t="shared" si="0"/>
        <v>2.7E-2</v>
      </c>
      <c r="K9" s="61">
        <f t="shared" si="6"/>
        <v>2.7E-2</v>
      </c>
      <c r="L9" s="366">
        <f t="shared" si="1"/>
        <v>2.7E-2</v>
      </c>
      <c r="M9" s="61">
        <f>+'Top Level'!F13</f>
        <v>2.7E-2</v>
      </c>
      <c r="N9" s="366">
        <f t="shared" si="2"/>
        <v>2.7E-2</v>
      </c>
      <c r="O9" s="61">
        <v>2.7E-2</v>
      </c>
      <c r="P9" s="46">
        <f t="shared" si="3"/>
        <v>2.7E-2</v>
      </c>
      <c r="T9" s="131">
        <v>1</v>
      </c>
      <c r="U9" s="96"/>
      <c r="V9" s="97">
        <v>2.64E-2</v>
      </c>
      <c r="W9" s="360">
        <f t="shared" si="4"/>
        <v>2.64E-2</v>
      </c>
      <c r="X9" s="97">
        <v>2.64E-2</v>
      </c>
      <c r="Y9" s="98">
        <f t="shared" si="5"/>
        <v>2.64E-2</v>
      </c>
      <c r="AA9" s="54">
        <f t="shared" si="7"/>
        <v>5.9999999999999984E-4</v>
      </c>
      <c r="AB9" s="54">
        <f t="shared" si="8"/>
        <v>5.9999999999999984E-4</v>
      </c>
    </row>
    <row r="10" spans="2:28" ht="15" x14ac:dyDescent="0.2">
      <c r="B10" s="41" t="s">
        <v>31</v>
      </c>
      <c r="C10" s="42"/>
      <c r="D10" s="42"/>
      <c r="E10" s="45" t="s">
        <v>32</v>
      </c>
      <c r="F10" s="42"/>
      <c r="G10" s="42" t="s">
        <v>33</v>
      </c>
      <c r="H10" s="42">
        <v>1</v>
      </c>
      <c r="I10" s="61">
        <f>+'Top Level'!E19</f>
        <v>0.33</v>
      </c>
      <c r="J10" s="366">
        <f t="shared" si="0"/>
        <v>0.33</v>
      </c>
      <c r="K10" s="61">
        <f t="shared" si="6"/>
        <v>0.33</v>
      </c>
      <c r="L10" s="366">
        <f t="shared" si="1"/>
        <v>0.33</v>
      </c>
      <c r="M10" s="61">
        <f>+'Top Level'!F19</f>
        <v>0.33</v>
      </c>
      <c r="N10" s="366">
        <f t="shared" si="2"/>
        <v>0.33</v>
      </c>
      <c r="O10" s="61">
        <v>0.26</v>
      </c>
      <c r="P10" s="46">
        <f t="shared" si="3"/>
        <v>0.26</v>
      </c>
      <c r="T10" s="131">
        <v>1</v>
      </c>
      <c r="U10" s="96" t="s">
        <v>34</v>
      </c>
      <c r="V10" s="97">
        <v>0.254</v>
      </c>
      <c r="W10" s="360">
        <f t="shared" si="4"/>
        <v>0.254</v>
      </c>
      <c r="X10" s="97">
        <v>0.254</v>
      </c>
      <c r="Y10" s="98">
        <f t="shared" si="5"/>
        <v>0.254</v>
      </c>
      <c r="AA10" s="54">
        <f t="shared" si="7"/>
        <v>7.6000000000000012E-2</v>
      </c>
      <c r="AB10" s="54">
        <f t="shared" si="8"/>
        <v>7.6000000000000012E-2</v>
      </c>
    </row>
    <row r="11" spans="2:28" ht="15.75" x14ac:dyDescent="0.25">
      <c r="B11" s="41" t="s">
        <v>35</v>
      </c>
      <c r="C11" s="42"/>
      <c r="D11" s="42"/>
      <c r="E11" s="45" t="s">
        <v>36</v>
      </c>
      <c r="F11" s="42"/>
      <c r="G11" s="42" t="s">
        <v>37</v>
      </c>
      <c r="H11" s="42">
        <v>1</v>
      </c>
      <c r="I11" s="61">
        <f>+'Top Level'!E20</f>
        <v>0.56999999999999995</v>
      </c>
      <c r="J11" s="366">
        <f t="shared" si="0"/>
        <v>0.56999999999999995</v>
      </c>
      <c r="K11" s="61">
        <f t="shared" si="6"/>
        <v>0.56999999999999995</v>
      </c>
      <c r="L11" s="366">
        <f t="shared" si="1"/>
        <v>0.56999999999999995</v>
      </c>
      <c r="M11" s="61">
        <f>+'Top Level'!F20</f>
        <v>0.56999999999999995</v>
      </c>
      <c r="N11" s="366">
        <f t="shared" si="2"/>
        <v>0.56999999999999995</v>
      </c>
      <c r="O11" s="179">
        <v>0.37</v>
      </c>
      <c r="P11" s="46">
        <f t="shared" si="3"/>
        <v>0.37</v>
      </c>
      <c r="T11" s="131">
        <v>1</v>
      </c>
      <c r="U11" s="96" t="s">
        <v>38</v>
      </c>
      <c r="V11" s="99">
        <v>0.33400000000000002</v>
      </c>
      <c r="W11" s="360">
        <f t="shared" si="4"/>
        <v>0.33400000000000002</v>
      </c>
      <c r="X11" s="100">
        <v>0.56999999999999995</v>
      </c>
      <c r="Y11" s="98">
        <f t="shared" si="5"/>
        <v>0.56999999999999995</v>
      </c>
      <c r="AA11" s="54">
        <f t="shared" si="7"/>
        <v>0.23599999999999993</v>
      </c>
      <c r="AB11" s="54">
        <f t="shared" si="8"/>
        <v>0.23599999999999993</v>
      </c>
    </row>
    <row r="12" spans="2:28" ht="15.75" x14ac:dyDescent="0.25">
      <c r="B12" s="41" t="s">
        <v>39</v>
      </c>
      <c r="C12" s="42"/>
      <c r="D12" s="42"/>
      <c r="E12" s="45" t="s">
        <v>40</v>
      </c>
      <c r="F12" s="42"/>
      <c r="G12" s="42" t="s">
        <v>41</v>
      </c>
      <c r="H12" s="42">
        <v>1</v>
      </c>
      <c r="I12" s="61">
        <f>+'Top Level'!E32</f>
        <v>6.7000000000000004E-2</v>
      </c>
      <c r="J12" s="366">
        <f t="shared" si="0"/>
        <v>6.7000000000000004E-2</v>
      </c>
      <c r="K12" s="61">
        <f t="shared" si="6"/>
        <v>6.7000000000000004E-2</v>
      </c>
      <c r="L12" s="366">
        <f t="shared" si="1"/>
        <v>6.7000000000000004E-2</v>
      </c>
      <c r="M12" s="61">
        <f>+'Top Level'!F32</f>
        <v>6.7000000000000004E-2</v>
      </c>
      <c r="N12" s="366">
        <f t="shared" si="2"/>
        <v>6.7000000000000004E-2</v>
      </c>
      <c r="O12" s="164">
        <v>6.4299999999999996E-2</v>
      </c>
      <c r="P12" s="46">
        <f t="shared" si="3"/>
        <v>6.4299999999999996E-2</v>
      </c>
      <c r="T12" s="131">
        <v>1</v>
      </c>
      <c r="U12" s="96" t="s">
        <v>41</v>
      </c>
      <c r="V12" s="97">
        <v>6.4899999999999999E-2</v>
      </c>
      <c r="W12" s="360">
        <f t="shared" si="4"/>
        <v>6.4899999999999999E-2</v>
      </c>
      <c r="X12" s="97">
        <v>6.4299999999999996E-2</v>
      </c>
      <c r="Y12" s="98">
        <f t="shared" si="5"/>
        <v>6.4299999999999996E-2</v>
      </c>
      <c r="AA12" s="54">
        <f t="shared" si="7"/>
        <v>2.1000000000000046E-3</v>
      </c>
      <c r="AB12" s="54">
        <f t="shared" si="8"/>
        <v>2.1000000000000046E-3</v>
      </c>
    </row>
    <row r="13" spans="2:28" ht="15.75" x14ac:dyDescent="0.25">
      <c r="B13" s="41" t="s">
        <v>42</v>
      </c>
      <c r="C13" s="42"/>
      <c r="D13" s="42"/>
      <c r="E13" s="45" t="s">
        <v>43</v>
      </c>
      <c r="F13" s="42"/>
      <c r="G13" s="42" t="s">
        <v>44</v>
      </c>
      <c r="H13" s="42">
        <v>1</v>
      </c>
      <c r="I13" s="61">
        <f>+'Top Level'!E33</f>
        <v>0.77</v>
      </c>
      <c r="J13" s="366">
        <f t="shared" si="0"/>
        <v>0.77</v>
      </c>
      <c r="K13" s="61">
        <f t="shared" si="6"/>
        <v>0.51</v>
      </c>
      <c r="L13" s="366">
        <f t="shared" si="1"/>
        <v>0.51</v>
      </c>
      <c r="M13" s="61">
        <f>+'Top Level'!F33</f>
        <v>0.51</v>
      </c>
      <c r="N13" s="366">
        <f t="shared" si="2"/>
        <v>0.51</v>
      </c>
      <c r="O13" s="164">
        <v>0.51</v>
      </c>
      <c r="P13" s="46">
        <f t="shared" si="3"/>
        <v>0.51</v>
      </c>
      <c r="T13" s="131">
        <v>1</v>
      </c>
      <c r="U13" s="96" t="s">
        <v>44</v>
      </c>
      <c r="V13" s="99">
        <v>0.88</v>
      </c>
      <c r="W13" s="360">
        <f t="shared" si="4"/>
        <v>0.88</v>
      </c>
      <c r="X13" s="100">
        <v>0.51</v>
      </c>
      <c r="Y13" s="98">
        <f t="shared" si="5"/>
        <v>0.51</v>
      </c>
      <c r="AA13" s="54">
        <f t="shared" si="7"/>
        <v>-0.10999999999999999</v>
      </c>
      <c r="AB13" s="54">
        <f t="shared" si="8"/>
        <v>-0.37</v>
      </c>
    </row>
    <row r="14" spans="2:28" ht="15.75" x14ac:dyDescent="0.25">
      <c r="B14" s="41" t="s">
        <v>45</v>
      </c>
      <c r="C14" s="42"/>
      <c r="D14" s="42"/>
      <c r="E14" s="42" t="s">
        <v>46</v>
      </c>
      <c r="F14" s="42"/>
      <c r="G14" s="42"/>
      <c r="H14" s="42">
        <v>1</v>
      </c>
      <c r="I14" s="61"/>
      <c r="J14" s="366">
        <f>SUM(J15:J22)</f>
        <v>3.754</v>
      </c>
      <c r="K14" s="61">
        <f t="shared" si="6"/>
        <v>0</v>
      </c>
      <c r="L14" s="366">
        <f>SUM(L15:L22)</f>
        <v>3.754</v>
      </c>
      <c r="M14" s="61"/>
      <c r="N14" s="366">
        <f>SUM(N15:N22)</f>
        <v>3.754</v>
      </c>
      <c r="O14" s="61"/>
      <c r="P14" s="46">
        <f>SUM(P15:P22)</f>
        <v>3.4904000000000002</v>
      </c>
      <c r="T14" s="131">
        <v>1</v>
      </c>
      <c r="U14" s="96"/>
      <c r="V14" s="97"/>
      <c r="W14" s="360">
        <f>SUM(W15:W22)</f>
        <v>3.7262999999999997</v>
      </c>
      <c r="X14" s="97"/>
      <c r="Y14" s="102">
        <f>SUM(Y15:Y22)</f>
        <v>3.4999000000000002</v>
      </c>
      <c r="AA14" s="54"/>
      <c r="AB14" s="54"/>
    </row>
    <row r="15" spans="2:28" ht="15" outlineLevel="1" x14ac:dyDescent="0.25">
      <c r="B15" s="25"/>
      <c r="C15" s="26" t="s">
        <v>47</v>
      </c>
      <c r="D15" s="26"/>
      <c r="E15" s="26" t="s">
        <v>48</v>
      </c>
      <c r="F15" s="26"/>
      <c r="G15" s="26" t="s">
        <v>49</v>
      </c>
      <c r="H15" s="26">
        <v>1</v>
      </c>
      <c r="I15" s="62">
        <f>+'Top Level'!E27</f>
        <v>1.93</v>
      </c>
      <c r="J15" s="52">
        <f t="shared" ref="J15:J22" si="9">$H15*I15</f>
        <v>1.93</v>
      </c>
      <c r="K15" s="62">
        <f t="shared" si="6"/>
        <v>1.93</v>
      </c>
      <c r="L15" s="52">
        <f t="shared" ref="L15:L22" si="10">$H15*K15</f>
        <v>1.93</v>
      </c>
      <c r="M15" s="62">
        <f>+'Top Level'!F27</f>
        <v>1.93</v>
      </c>
      <c r="N15" s="52">
        <f t="shared" ref="N15:N22" si="11">$H15*M15</f>
        <v>1.93</v>
      </c>
      <c r="O15" s="62">
        <v>1.7423</v>
      </c>
      <c r="P15" s="27">
        <f t="shared" ref="P15:P22" si="12">$H15*O15</f>
        <v>1.7423</v>
      </c>
      <c r="T15" s="132">
        <v>1</v>
      </c>
      <c r="U15" s="103" t="s">
        <v>50</v>
      </c>
      <c r="V15" s="104">
        <v>1.8736999999999999</v>
      </c>
      <c r="W15" s="357">
        <f t="shared" ref="W15:W22" si="13">+V15*T15</f>
        <v>1.8736999999999999</v>
      </c>
      <c r="X15" s="106">
        <v>1.6464000000000001</v>
      </c>
      <c r="Y15" s="105">
        <f t="shared" ref="Y15:Y22" si="14">+X15*T15</f>
        <v>1.6464000000000001</v>
      </c>
      <c r="AA15" s="54">
        <f t="shared" si="7"/>
        <v>5.6300000000000017E-2</v>
      </c>
      <c r="AB15" s="54">
        <f t="shared" si="8"/>
        <v>5.6300000000000017E-2</v>
      </c>
    </row>
    <row r="16" spans="2:28" ht="15" outlineLevel="1" x14ac:dyDescent="0.25">
      <c r="B16" s="25"/>
      <c r="C16" s="26" t="s">
        <v>51</v>
      </c>
      <c r="D16" s="26"/>
      <c r="E16" s="26" t="s">
        <v>52</v>
      </c>
      <c r="F16" s="26"/>
      <c r="G16" s="26"/>
      <c r="H16" s="26">
        <v>1</v>
      </c>
      <c r="I16" s="62">
        <f>+'Top Level'!E46</f>
        <v>1.24</v>
      </c>
      <c r="J16" s="52">
        <f t="shared" si="9"/>
        <v>1.24</v>
      </c>
      <c r="K16" s="62">
        <f t="shared" si="6"/>
        <v>1.24</v>
      </c>
      <c r="L16" s="52">
        <f t="shared" si="10"/>
        <v>1.24</v>
      </c>
      <c r="M16" s="62">
        <f>+'Top Level'!F46</f>
        <v>1.24</v>
      </c>
      <c r="N16" s="52">
        <f t="shared" si="11"/>
        <v>1.24</v>
      </c>
      <c r="O16" s="62">
        <v>1.28</v>
      </c>
      <c r="P16" s="27">
        <f t="shared" si="12"/>
        <v>1.28</v>
      </c>
      <c r="T16" s="132">
        <v>1</v>
      </c>
      <c r="U16" s="103" t="s">
        <v>53</v>
      </c>
      <c r="V16" s="104">
        <v>1.6740999999999999</v>
      </c>
      <c r="W16" s="357">
        <f t="shared" si="13"/>
        <v>1.6740999999999999</v>
      </c>
      <c r="X16" s="106">
        <v>1.4578</v>
      </c>
      <c r="Y16" s="105">
        <f t="shared" si="14"/>
        <v>1.4578</v>
      </c>
      <c r="AA16" s="54">
        <f t="shared" si="7"/>
        <v>-0.43409999999999993</v>
      </c>
      <c r="AB16" s="54">
        <f t="shared" si="8"/>
        <v>-0.43409999999999993</v>
      </c>
    </row>
    <row r="17" spans="2:28" ht="15" outlineLevel="1" x14ac:dyDescent="0.25">
      <c r="B17" s="25"/>
      <c r="C17" s="26" t="s">
        <v>54</v>
      </c>
      <c r="D17" s="26"/>
      <c r="E17" s="26" t="s">
        <v>55</v>
      </c>
      <c r="F17" s="26"/>
      <c r="G17" s="26"/>
      <c r="H17" s="26">
        <v>1</v>
      </c>
      <c r="I17" s="62">
        <f>+'Top Level'!E37</f>
        <v>0.02</v>
      </c>
      <c r="J17" s="52">
        <f t="shared" si="9"/>
        <v>0.02</v>
      </c>
      <c r="K17" s="62">
        <f t="shared" si="6"/>
        <v>0.02</v>
      </c>
      <c r="L17" s="52">
        <f t="shared" si="10"/>
        <v>0.02</v>
      </c>
      <c r="M17" s="62">
        <f>+'Top Level'!F37</f>
        <v>0.02</v>
      </c>
      <c r="N17" s="52">
        <f t="shared" si="11"/>
        <v>0.02</v>
      </c>
      <c r="O17" s="62">
        <v>0.02</v>
      </c>
      <c r="P17" s="27">
        <f t="shared" si="12"/>
        <v>0.02</v>
      </c>
      <c r="T17" s="132">
        <v>1</v>
      </c>
      <c r="U17" s="103" t="s">
        <v>50</v>
      </c>
      <c r="V17" s="107">
        <v>1.7000000000000001E-2</v>
      </c>
      <c r="W17" s="357">
        <f t="shared" si="13"/>
        <v>1.7000000000000001E-2</v>
      </c>
      <c r="X17" s="107">
        <v>1.5800000000000002E-2</v>
      </c>
      <c r="Y17" s="105">
        <f t="shared" si="14"/>
        <v>1.5800000000000002E-2</v>
      </c>
      <c r="AA17" s="54">
        <f t="shared" si="7"/>
        <v>2.9999999999999992E-3</v>
      </c>
      <c r="AB17" s="54">
        <f t="shared" si="8"/>
        <v>2.9999999999999992E-3</v>
      </c>
    </row>
    <row r="18" spans="2:28" ht="15" outlineLevel="1" x14ac:dyDescent="0.25">
      <c r="B18" s="25"/>
      <c r="C18" s="26" t="s">
        <v>56</v>
      </c>
      <c r="D18" s="26"/>
      <c r="E18" s="26" t="s">
        <v>57</v>
      </c>
      <c r="F18" s="26"/>
      <c r="G18" s="26"/>
      <c r="H18" s="26">
        <v>1</v>
      </c>
      <c r="I18" s="62">
        <f>+'Top Level'!E36</f>
        <v>0.17699999999999999</v>
      </c>
      <c r="J18" s="52">
        <f t="shared" si="9"/>
        <v>0.17699999999999999</v>
      </c>
      <c r="K18" s="62">
        <f t="shared" si="6"/>
        <v>0.17699999999999999</v>
      </c>
      <c r="L18" s="52">
        <f t="shared" si="10"/>
        <v>0.17699999999999999</v>
      </c>
      <c r="M18" s="62">
        <f>+'Top Level'!F36</f>
        <v>0.17699999999999999</v>
      </c>
      <c r="N18" s="52">
        <f t="shared" si="11"/>
        <v>0.17699999999999999</v>
      </c>
      <c r="O18" s="165">
        <v>0.17649999999999999</v>
      </c>
      <c r="P18" s="27">
        <f t="shared" si="12"/>
        <v>0.17649999999999999</v>
      </c>
      <c r="T18" s="132">
        <v>1</v>
      </c>
      <c r="U18" s="103" t="s">
        <v>58</v>
      </c>
      <c r="V18" s="442"/>
      <c r="W18" s="357">
        <f t="shared" si="13"/>
        <v>0</v>
      </c>
      <c r="X18" s="107">
        <v>0.17649999999999999</v>
      </c>
      <c r="Y18" s="105">
        <f t="shared" si="14"/>
        <v>0.17649999999999999</v>
      </c>
      <c r="AA18" s="54">
        <f t="shared" si="7"/>
        <v>0.17699999999999999</v>
      </c>
      <c r="AB18" s="54">
        <f t="shared" si="8"/>
        <v>0.17699999999999999</v>
      </c>
    </row>
    <row r="19" spans="2:28" ht="15" outlineLevel="1" x14ac:dyDescent="0.25">
      <c r="B19" s="25"/>
      <c r="C19" s="26" t="s">
        <v>59</v>
      </c>
      <c r="D19" s="26"/>
      <c r="E19" s="26" t="s">
        <v>60</v>
      </c>
      <c r="F19" s="26"/>
      <c r="G19" s="26" t="s">
        <v>58</v>
      </c>
      <c r="H19" s="26">
        <v>1</v>
      </c>
      <c r="I19" s="62">
        <f>+'Top Level'!E31</f>
        <v>4.4999999999999998E-2</v>
      </c>
      <c r="J19" s="52">
        <f t="shared" si="9"/>
        <v>4.4999999999999998E-2</v>
      </c>
      <c r="K19" s="62">
        <f t="shared" si="6"/>
        <v>4.4999999999999998E-2</v>
      </c>
      <c r="L19" s="52">
        <f t="shared" si="10"/>
        <v>4.4999999999999998E-2</v>
      </c>
      <c r="M19" s="62">
        <f>+'Top Level'!F31</f>
        <v>4.4999999999999998E-2</v>
      </c>
      <c r="N19" s="52">
        <f t="shared" si="11"/>
        <v>4.4999999999999998E-2</v>
      </c>
      <c r="O19" s="165">
        <v>4.48E-2</v>
      </c>
      <c r="P19" s="27">
        <f t="shared" si="12"/>
        <v>4.48E-2</v>
      </c>
      <c r="T19" s="132">
        <v>1</v>
      </c>
      <c r="U19" s="103" t="s">
        <v>58</v>
      </c>
      <c r="V19" s="107">
        <v>4.2900000000000001E-2</v>
      </c>
      <c r="W19" s="357">
        <f t="shared" si="13"/>
        <v>4.2900000000000001E-2</v>
      </c>
      <c r="X19" s="107">
        <v>4.48E-2</v>
      </c>
      <c r="Y19" s="105">
        <f t="shared" si="14"/>
        <v>4.48E-2</v>
      </c>
      <c r="AA19" s="54">
        <f t="shared" si="7"/>
        <v>2.0999999999999977E-3</v>
      </c>
      <c r="AB19" s="54">
        <f t="shared" si="8"/>
        <v>2.0999999999999977E-3</v>
      </c>
    </row>
    <row r="20" spans="2:28" ht="15" outlineLevel="1" x14ac:dyDescent="0.25">
      <c r="B20" s="25"/>
      <c r="C20" s="26" t="s">
        <v>61</v>
      </c>
      <c r="D20" s="26"/>
      <c r="E20" s="26" t="s">
        <v>62</v>
      </c>
      <c r="F20" s="26"/>
      <c r="G20" s="26" t="s">
        <v>63</v>
      </c>
      <c r="H20" s="26">
        <v>1</v>
      </c>
      <c r="I20" s="62">
        <f>+'Top Level'!E14</f>
        <v>0.108</v>
      </c>
      <c r="J20" s="52">
        <f t="shared" si="9"/>
        <v>0.108</v>
      </c>
      <c r="K20" s="62">
        <f t="shared" si="6"/>
        <v>0.108</v>
      </c>
      <c r="L20" s="52">
        <f t="shared" si="10"/>
        <v>0.108</v>
      </c>
      <c r="M20" s="62">
        <f>+'Top Level'!F14</f>
        <v>0.108</v>
      </c>
      <c r="N20" s="52">
        <f t="shared" si="11"/>
        <v>0.108</v>
      </c>
      <c r="O20" s="62">
        <v>9.0999999999999998E-2</v>
      </c>
      <c r="P20" s="27">
        <f t="shared" si="12"/>
        <v>9.0999999999999998E-2</v>
      </c>
      <c r="T20" s="132">
        <v>1</v>
      </c>
      <c r="U20" s="103" t="s">
        <v>64</v>
      </c>
      <c r="V20" s="443">
        <v>8.2799999999999999E-2</v>
      </c>
      <c r="W20" s="357">
        <f t="shared" si="13"/>
        <v>8.2799999999999999E-2</v>
      </c>
      <c r="X20" s="107">
        <v>8.2799999999999999E-2</v>
      </c>
      <c r="Y20" s="105">
        <f t="shared" si="14"/>
        <v>8.2799999999999999E-2</v>
      </c>
      <c r="AA20" s="54">
        <f t="shared" si="7"/>
        <v>2.52E-2</v>
      </c>
      <c r="AB20" s="54">
        <f t="shared" si="8"/>
        <v>2.52E-2</v>
      </c>
    </row>
    <row r="21" spans="2:28" ht="15" outlineLevel="1" x14ac:dyDescent="0.25">
      <c r="B21" s="25"/>
      <c r="C21" s="26" t="s">
        <v>65</v>
      </c>
      <c r="D21" s="26"/>
      <c r="E21" s="26" t="s">
        <v>66</v>
      </c>
      <c r="F21" s="26"/>
      <c r="G21" s="26"/>
      <c r="H21" s="26">
        <v>1</v>
      </c>
      <c r="I21" s="62">
        <f>+'Top Level'!E43</f>
        <v>4.1000000000000002E-2</v>
      </c>
      <c r="J21" s="52">
        <f t="shared" si="9"/>
        <v>4.1000000000000002E-2</v>
      </c>
      <c r="K21" s="62">
        <f t="shared" si="6"/>
        <v>4.1000000000000002E-2</v>
      </c>
      <c r="L21" s="52">
        <f t="shared" si="10"/>
        <v>4.1000000000000002E-2</v>
      </c>
      <c r="M21" s="62">
        <f>+'Top Level'!F43</f>
        <v>4.1000000000000002E-2</v>
      </c>
      <c r="N21" s="52">
        <f t="shared" si="11"/>
        <v>4.1000000000000002E-2</v>
      </c>
      <c r="O21" s="165">
        <v>3.5799999999999998E-2</v>
      </c>
      <c r="P21" s="27">
        <f t="shared" si="12"/>
        <v>3.5799999999999998E-2</v>
      </c>
      <c r="T21" s="132">
        <v>1</v>
      </c>
      <c r="U21" s="103" t="s">
        <v>67</v>
      </c>
      <c r="V21" s="107">
        <v>3.5799999999999998E-2</v>
      </c>
      <c r="W21" s="357">
        <f t="shared" si="13"/>
        <v>3.5799999999999998E-2</v>
      </c>
      <c r="X21" s="107">
        <v>3.5799999999999998E-2</v>
      </c>
      <c r="Y21" s="105">
        <f t="shared" si="14"/>
        <v>3.5799999999999998E-2</v>
      </c>
      <c r="AA21" s="54">
        <f t="shared" si="7"/>
        <v>5.2000000000000032E-3</v>
      </c>
      <c r="AB21" s="54">
        <f t="shared" si="8"/>
        <v>5.2000000000000032E-3</v>
      </c>
    </row>
    <row r="22" spans="2:28" ht="15" outlineLevel="1" x14ac:dyDescent="0.25">
      <c r="B22" s="25"/>
      <c r="C22" s="26" t="s">
        <v>68</v>
      </c>
      <c r="D22" s="26"/>
      <c r="E22" s="26" t="s">
        <v>69</v>
      </c>
      <c r="F22" s="26"/>
      <c r="G22" s="26" t="s">
        <v>70</v>
      </c>
      <c r="H22" s="26">
        <v>1</v>
      </c>
      <c r="I22" s="62">
        <f>+'Top Level'!E16</f>
        <v>0.193</v>
      </c>
      <c r="J22" s="52">
        <f t="shared" si="9"/>
        <v>0.193</v>
      </c>
      <c r="K22" s="62">
        <f t="shared" si="6"/>
        <v>0.193</v>
      </c>
      <c r="L22" s="52">
        <f t="shared" si="10"/>
        <v>0.193</v>
      </c>
      <c r="M22" s="62">
        <f>+'Top Level'!F16</f>
        <v>0.193</v>
      </c>
      <c r="N22" s="52">
        <f t="shared" si="11"/>
        <v>0.193</v>
      </c>
      <c r="O22" s="336">
        <v>0.1</v>
      </c>
      <c r="P22" s="27">
        <f t="shared" si="12"/>
        <v>0.1</v>
      </c>
      <c r="T22" s="132">
        <v>1</v>
      </c>
      <c r="U22" s="103"/>
      <c r="V22" s="442"/>
      <c r="W22" s="357">
        <f t="shared" si="13"/>
        <v>0</v>
      </c>
      <c r="X22" s="107">
        <v>0.04</v>
      </c>
      <c r="Y22" s="105">
        <f t="shared" si="14"/>
        <v>0.04</v>
      </c>
      <c r="AA22" s="54">
        <f t="shared" si="7"/>
        <v>0.193</v>
      </c>
      <c r="AB22" s="54">
        <f t="shared" si="8"/>
        <v>0.193</v>
      </c>
    </row>
    <row r="23" spans="2:28" ht="15.75" x14ac:dyDescent="0.25">
      <c r="B23" s="41" t="s">
        <v>71</v>
      </c>
      <c r="C23" s="42"/>
      <c r="D23" s="42"/>
      <c r="E23" s="42" t="s">
        <v>72</v>
      </c>
      <c r="F23" s="42"/>
      <c r="G23" s="42"/>
      <c r="H23" s="42">
        <v>1</v>
      </c>
      <c r="I23" s="61"/>
      <c r="J23" s="366">
        <f>SUM(J24:J28)</f>
        <v>4.5599999999999996</v>
      </c>
      <c r="K23" s="61"/>
      <c r="L23" s="366">
        <f>SUM(L24:L28)</f>
        <v>4.5599999999999996</v>
      </c>
      <c r="M23" s="61"/>
      <c r="N23" s="366">
        <f>SUM(N24:N28)</f>
        <v>4.5599999999999996</v>
      </c>
      <c r="O23" s="61"/>
      <c r="P23" s="46">
        <f>SUM(P24:P28)</f>
        <v>4.4493</v>
      </c>
      <c r="R23" s="54"/>
      <c r="T23" s="131">
        <v>1</v>
      </c>
      <c r="U23" s="96"/>
      <c r="V23" s="363">
        <v>6.5199999999999994E-2</v>
      </c>
      <c r="W23" s="360">
        <f>SUM(W24:W28)+V23</f>
        <v>3.7878999999999996</v>
      </c>
      <c r="X23" s="97"/>
      <c r="Y23" s="102">
        <f>SUM(Y24:Y28)</f>
        <v>3.4826999999999999</v>
      </c>
      <c r="AA23" s="54"/>
      <c r="AB23" s="54"/>
    </row>
    <row r="24" spans="2:28" ht="15" outlineLevel="1" x14ac:dyDescent="0.25">
      <c r="B24" s="25"/>
      <c r="C24" s="26" t="s">
        <v>73</v>
      </c>
      <c r="D24" s="26"/>
      <c r="E24" s="26" t="s">
        <v>74</v>
      </c>
      <c r="F24" s="26"/>
      <c r="G24" s="26"/>
      <c r="H24" s="26">
        <v>2</v>
      </c>
      <c r="I24" s="62">
        <f>+'Top Level'!E35</f>
        <v>0.15</v>
      </c>
      <c r="J24" s="52">
        <f>$H24*I24</f>
        <v>0.3</v>
      </c>
      <c r="K24" s="62">
        <f>+M24</f>
        <v>0.15</v>
      </c>
      <c r="L24" s="52">
        <f>$H24*K24</f>
        <v>0.3</v>
      </c>
      <c r="M24" s="62">
        <f>+'Top Level'!F35</f>
        <v>0.15</v>
      </c>
      <c r="N24" s="52">
        <f>$H24*M24</f>
        <v>0.3</v>
      </c>
      <c r="O24" s="165">
        <v>0.13009999999999999</v>
      </c>
      <c r="P24" s="27">
        <f>$H24*O24</f>
        <v>0.26019999999999999</v>
      </c>
      <c r="R24" s="54"/>
      <c r="T24" s="132">
        <v>2</v>
      </c>
      <c r="U24" s="103" t="s">
        <v>50</v>
      </c>
      <c r="V24" s="107">
        <v>0.13009999999999999</v>
      </c>
      <c r="W24" s="357">
        <f t="shared" ref="W24:W29" si="15">+V24*T24</f>
        <v>0.26019999999999999</v>
      </c>
      <c r="X24" s="107">
        <v>0.13009999999999999</v>
      </c>
      <c r="Y24" s="105">
        <f>+X24*T24</f>
        <v>0.26019999999999999</v>
      </c>
      <c r="AA24" s="54">
        <f t="shared" ref="AA24:AA39" si="16">+J24-W24</f>
        <v>3.9800000000000002E-2</v>
      </c>
      <c r="AB24" s="54">
        <f t="shared" ref="AB24:AB39" si="17">+L24-W24</f>
        <v>3.9800000000000002E-2</v>
      </c>
    </row>
    <row r="25" spans="2:28" ht="15" outlineLevel="1" x14ac:dyDescent="0.25">
      <c r="B25" s="25"/>
      <c r="C25" s="26" t="s">
        <v>75</v>
      </c>
      <c r="D25" s="26"/>
      <c r="E25" s="26" t="s">
        <v>76</v>
      </c>
      <c r="F25" s="26"/>
      <c r="G25" s="26"/>
      <c r="H25" s="26">
        <v>1</v>
      </c>
      <c r="I25" s="62">
        <f>+'Top Level'!E26</f>
        <v>2.04</v>
      </c>
      <c r="J25" s="52">
        <f>$H25*I25</f>
        <v>2.04</v>
      </c>
      <c r="K25" s="62">
        <f>+M25</f>
        <v>2.04</v>
      </c>
      <c r="L25" s="52">
        <f>$H25*K25</f>
        <v>2.04</v>
      </c>
      <c r="M25" s="62">
        <f>+'Top Level'!F26</f>
        <v>2.04</v>
      </c>
      <c r="N25" s="52">
        <f>$H25*M25</f>
        <v>2.04</v>
      </c>
      <c r="O25" s="62">
        <v>1.9661</v>
      </c>
      <c r="P25" s="27">
        <f>$H25*O25</f>
        <v>1.9661</v>
      </c>
      <c r="T25" s="132">
        <v>1</v>
      </c>
      <c r="U25" s="103" t="s">
        <v>50</v>
      </c>
      <c r="V25" s="107">
        <v>1.6795</v>
      </c>
      <c r="W25" s="357">
        <f t="shared" si="15"/>
        <v>1.6795</v>
      </c>
      <c r="X25" s="106">
        <v>1.5095000000000001</v>
      </c>
      <c r="Y25" s="105">
        <f>+X25*T25</f>
        <v>1.5095000000000001</v>
      </c>
      <c r="AA25" s="54">
        <f t="shared" si="16"/>
        <v>0.36050000000000004</v>
      </c>
      <c r="AB25" s="54">
        <f t="shared" si="17"/>
        <v>0.36050000000000004</v>
      </c>
    </row>
    <row r="26" spans="2:28" ht="15" outlineLevel="1" x14ac:dyDescent="0.25">
      <c r="B26" s="25"/>
      <c r="C26" s="26" t="s">
        <v>77</v>
      </c>
      <c r="D26" s="26"/>
      <c r="E26" s="26" t="s">
        <v>78</v>
      </c>
      <c r="F26" s="26"/>
      <c r="G26" s="26"/>
      <c r="H26" s="26">
        <v>1</v>
      </c>
      <c r="I26" s="62">
        <f>+'Top Level'!E54</f>
        <v>3.6999999999999998E-2</v>
      </c>
      <c r="J26" s="52">
        <f>$H26*I26</f>
        <v>3.6999999999999998E-2</v>
      </c>
      <c r="K26" s="62">
        <f>+M26</f>
        <v>3.6999999999999998E-2</v>
      </c>
      <c r="L26" s="52">
        <f>$H26*K26</f>
        <v>3.6999999999999998E-2</v>
      </c>
      <c r="M26" s="62">
        <f>+'Top Level'!F54</f>
        <v>3.6999999999999998E-2</v>
      </c>
      <c r="N26" s="52">
        <f>$H26*M26</f>
        <v>3.6999999999999998E-2</v>
      </c>
      <c r="O26" s="62">
        <v>3.6999999999999998E-2</v>
      </c>
      <c r="P26" s="27">
        <f>$H26*O26</f>
        <v>3.6999999999999998E-2</v>
      </c>
      <c r="T26" s="132">
        <v>1</v>
      </c>
      <c r="U26" s="103"/>
      <c r="V26" s="107">
        <v>1.7000000000000001E-2</v>
      </c>
      <c r="W26" s="357">
        <f t="shared" si="15"/>
        <v>1.7000000000000001E-2</v>
      </c>
      <c r="X26" s="107">
        <v>1.7000000000000001E-2</v>
      </c>
      <c r="Y26" s="105">
        <f>+X26*T26</f>
        <v>1.7000000000000001E-2</v>
      </c>
      <c r="AA26" s="54">
        <f t="shared" si="16"/>
        <v>1.9999999999999997E-2</v>
      </c>
      <c r="AB26" s="54">
        <f t="shared" si="17"/>
        <v>1.9999999999999997E-2</v>
      </c>
    </row>
    <row r="27" spans="2:28" ht="15" outlineLevel="1" x14ac:dyDescent="0.25">
      <c r="B27" s="25"/>
      <c r="C27" s="26" t="s">
        <v>79</v>
      </c>
      <c r="D27" s="26"/>
      <c r="E27" s="26" t="s">
        <v>80</v>
      </c>
      <c r="F27" s="26"/>
      <c r="G27" s="26"/>
      <c r="H27" s="26">
        <v>1</v>
      </c>
      <c r="I27" s="62">
        <f>+'Top Level'!E21</f>
        <v>1.79</v>
      </c>
      <c r="J27" s="52">
        <f>$H27*I27</f>
        <v>1.79</v>
      </c>
      <c r="K27" s="62">
        <f>+M27</f>
        <v>1.79</v>
      </c>
      <c r="L27" s="52">
        <f>$H27*K27</f>
        <v>1.79</v>
      </c>
      <c r="M27" s="62">
        <f>+'Top Level'!F21</f>
        <v>1.79</v>
      </c>
      <c r="N27" s="52">
        <f>$H27*M27</f>
        <v>1.79</v>
      </c>
      <c r="O27" s="62">
        <v>1.79</v>
      </c>
      <c r="P27" s="27">
        <f>$H27*O27</f>
        <v>1.79</v>
      </c>
      <c r="T27" s="132">
        <v>1</v>
      </c>
      <c r="U27" s="103" t="s">
        <v>81</v>
      </c>
      <c r="V27" s="107">
        <v>1.37</v>
      </c>
      <c r="W27" s="357">
        <f t="shared" si="15"/>
        <v>1.37</v>
      </c>
      <c r="X27" s="106">
        <v>1.3</v>
      </c>
      <c r="Y27" s="105">
        <f>+X27*T27</f>
        <v>1.3</v>
      </c>
      <c r="AA27" s="54">
        <f t="shared" si="16"/>
        <v>0.41999999999999993</v>
      </c>
      <c r="AB27" s="54">
        <f t="shared" si="17"/>
        <v>0.41999999999999993</v>
      </c>
    </row>
    <row r="28" spans="2:28" ht="15" outlineLevel="1" x14ac:dyDescent="0.25">
      <c r="B28" s="25"/>
      <c r="C28" s="26" t="s">
        <v>82</v>
      </c>
      <c r="D28" s="26"/>
      <c r="E28" s="26" t="s">
        <v>83</v>
      </c>
      <c r="F28" s="26"/>
      <c r="G28" s="26"/>
      <c r="H28" s="26">
        <v>1</v>
      </c>
      <c r="I28" s="62">
        <f>+'Top Level'!E42</f>
        <v>0.39300000000000002</v>
      </c>
      <c r="J28" s="52">
        <f>$H28*I28</f>
        <v>0.39300000000000002</v>
      </c>
      <c r="K28" s="62">
        <f>+M28</f>
        <v>0.39300000000000002</v>
      </c>
      <c r="L28" s="52">
        <f>$H28*K28</f>
        <v>0.39300000000000002</v>
      </c>
      <c r="M28" s="62">
        <f>+'Top Level'!F42</f>
        <v>0.39300000000000002</v>
      </c>
      <c r="N28" s="52">
        <f>$H28*M28</f>
        <v>0.39300000000000002</v>
      </c>
      <c r="O28" s="165">
        <v>0.39600000000000002</v>
      </c>
      <c r="P28" s="27">
        <f>$H28*O28</f>
        <v>0.39600000000000002</v>
      </c>
      <c r="T28" s="132">
        <v>1</v>
      </c>
      <c r="U28" s="103" t="s">
        <v>84</v>
      </c>
      <c r="V28" s="107">
        <v>0.39600000000000002</v>
      </c>
      <c r="W28" s="357">
        <f t="shared" si="15"/>
        <v>0.39600000000000002</v>
      </c>
      <c r="X28" s="107">
        <v>0.39600000000000002</v>
      </c>
      <c r="Y28" s="105">
        <f>+X28*T28</f>
        <v>0.39600000000000002</v>
      </c>
      <c r="AA28" s="54">
        <f t="shared" si="16"/>
        <v>-3.0000000000000027E-3</v>
      </c>
      <c r="AB28" s="54">
        <f t="shared" si="17"/>
        <v>-3.0000000000000027E-3</v>
      </c>
    </row>
    <row r="29" spans="2:28" ht="15.75" x14ac:dyDescent="0.25">
      <c r="B29" s="41" t="s">
        <v>85</v>
      </c>
      <c r="C29" s="42"/>
      <c r="D29" s="42"/>
      <c r="E29" s="42" t="s">
        <v>86</v>
      </c>
      <c r="F29" s="42"/>
      <c r="G29" s="42"/>
      <c r="H29" s="42">
        <v>1</v>
      </c>
      <c r="I29" s="61">
        <f>+J29-J144</f>
        <v>37.71</v>
      </c>
      <c r="J29" s="366">
        <f>+'Top Level'!E40</f>
        <v>45.83</v>
      </c>
      <c r="K29" s="61">
        <f>+L29-I144</f>
        <v>40.200000000000003</v>
      </c>
      <c r="L29" s="366">
        <f>+N29</f>
        <v>40.200000000000003</v>
      </c>
      <c r="M29" s="61">
        <f>+N29-J144</f>
        <v>32.080000000000005</v>
      </c>
      <c r="N29" s="366">
        <f>+'Top Level'!F40</f>
        <v>40.200000000000003</v>
      </c>
      <c r="O29" s="61">
        <f>+P29-O144</f>
        <v>39.32</v>
      </c>
      <c r="P29" s="182">
        <v>39.32</v>
      </c>
      <c r="T29" s="131">
        <v>1</v>
      </c>
      <c r="U29" s="337"/>
      <c r="V29" s="97">
        <v>34.750999999999998</v>
      </c>
      <c r="W29" s="361">
        <f t="shared" si="15"/>
        <v>34.750999999999998</v>
      </c>
      <c r="X29" s="100">
        <f>36.7679-2.2878</f>
        <v>34.4801</v>
      </c>
      <c r="Y29" s="109">
        <f>(+X29*T29)</f>
        <v>34.4801</v>
      </c>
      <c r="AA29" s="54">
        <f t="shared" si="16"/>
        <v>11.079000000000001</v>
      </c>
      <c r="AB29" s="54">
        <f t="shared" si="17"/>
        <v>5.4490000000000052</v>
      </c>
    </row>
    <row r="30" spans="2:28" ht="15.75" x14ac:dyDescent="0.25">
      <c r="B30" s="41" t="s">
        <v>87</v>
      </c>
      <c r="C30" s="42"/>
      <c r="D30" s="42"/>
      <c r="E30" s="42" t="s">
        <v>88</v>
      </c>
      <c r="F30" s="42"/>
      <c r="G30" s="42"/>
      <c r="H30" s="42"/>
      <c r="I30" s="61"/>
      <c r="J30" s="366">
        <f>SUM(J31:J56)</f>
        <v>34.964145200000004</v>
      </c>
      <c r="K30" s="61"/>
      <c r="L30" s="366">
        <f>SUM(L31:L56)</f>
        <v>34.764145200000002</v>
      </c>
      <c r="M30" s="61"/>
      <c r="N30" s="366">
        <f>SUM(N31:N56)</f>
        <v>34.764145200000002</v>
      </c>
      <c r="O30" s="61"/>
      <c r="P30" s="46">
        <f>SUM(P31:P55)</f>
        <v>34.368705199999994</v>
      </c>
      <c r="T30" s="131"/>
      <c r="U30" s="96"/>
      <c r="V30" s="97"/>
      <c r="W30" s="360">
        <f>SUM(W31:W57)</f>
        <v>64.650700000000001</v>
      </c>
      <c r="X30" s="97"/>
      <c r="Y30" s="102">
        <f>SUM(Y31:Y57)</f>
        <v>67.289300000000011</v>
      </c>
      <c r="Z30" s="334"/>
      <c r="AA30" s="54"/>
      <c r="AB30" s="54"/>
    </row>
    <row r="31" spans="2:28" ht="15" outlineLevel="1" x14ac:dyDescent="0.25">
      <c r="B31" s="25"/>
      <c r="C31" s="26" t="s">
        <v>89</v>
      </c>
      <c r="D31" s="26"/>
      <c r="E31" s="26" t="s">
        <v>90</v>
      </c>
      <c r="F31" s="26"/>
      <c r="G31" s="26"/>
      <c r="H31" s="26">
        <v>1</v>
      </c>
      <c r="I31" s="62">
        <f>+'Top Level'!E8</f>
        <v>14.64</v>
      </c>
      <c r="J31" s="52">
        <f t="shared" ref="J31:J38" si="18">$H31*I31</f>
        <v>14.64</v>
      </c>
      <c r="K31" s="62">
        <f>+M31</f>
        <v>14.64</v>
      </c>
      <c r="L31" s="52">
        <f t="shared" ref="L31:L38" si="19">$H31*K31</f>
        <v>14.64</v>
      </c>
      <c r="M31" s="62">
        <f>+'Top Level'!F8</f>
        <v>14.64</v>
      </c>
      <c r="N31" s="52">
        <f t="shared" ref="N31:N38" si="20">$H31*M31</f>
        <v>14.64</v>
      </c>
      <c r="O31" s="165">
        <v>16.2</v>
      </c>
      <c r="P31" s="27">
        <f t="shared" ref="P31:P38" si="21">$H31*O31</f>
        <v>16.2</v>
      </c>
      <c r="T31" s="132">
        <v>1</v>
      </c>
      <c r="U31" s="103" t="s">
        <v>91</v>
      </c>
      <c r="V31" s="107">
        <v>14.64</v>
      </c>
      <c r="W31" s="357">
        <f t="shared" ref="W31:W38" si="22">+V31*T31</f>
        <v>14.64</v>
      </c>
      <c r="X31" s="107">
        <v>16.2</v>
      </c>
      <c r="Y31" s="105">
        <f t="shared" ref="Y31:Y38" si="23">+X31*T31</f>
        <v>16.2</v>
      </c>
      <c r="AA31" s="54">
        <f t="shared" si="16"/>
        <v>0</v>
      </c>
      <c r="AB31" s="54">
        <f t="shared" si="17"/>
        <v>0</v>
      </c>
    </row>
    <row r="32" spans="2:28" ht="15" outlineLevel="1" x14ac:dyDescent="0.25">
      <c r="B32" s="25"/>
      <c r="C32" s="26" t="s">
        <v>25</v>
      </c>
      <c r="D32" s="26"/>
      <c r="E32" s="26" t="s">
        <v>26</v>
      </c>
      <c r="F32" s="26"/>
      <c r="G32" s="26"/>
      <c r="H32" s="26">
        <v>4</v>
      </c>
      <c r="I32" s="62">
        <f>+'Top Level'!E10</f>
        <v>7.17E-2</v>
      </c>
      <c r="J32" s="52">
        <f>$H32*I32</f>
        <v>0.2868</v>
      </c>
      <c r="K32" s="62">
        <f t="shared" ref="K32:K47" si="24">+M32</f>
        <v>7.17E-2</v>
      </c>
      <c r="L32" s="52">
        <f t="shared" si="19"/>
        <v>0.2868</v>
      </c>
      <c r="M32" s="62">
        <f>+'Top Level'!F10</f>
        <v>7.17E-2</v>
      </c>
      <c r="N32" s="52">
        <f t="shared" si="20"/>
        <v>0.2868</v>
      </c>
      <c r="O32" s="165">
        <v>7.17E-2</v>
      </c>
      <c r="P32" s="27">
        <f t="shared" si="21"/>
        <v>0.2868</v>
      </c>
      <c r="T32" s="132">
        <v>4</v>
      </c>
      <c r="U32" s="103" t="s">
        <v>24</v>
      </c>
      <c r="V32" s="107">
        <v>6.2700000000000006E-2</v>
      </c>
      <c r="W32" s="357">
        <f t="shared" si="22"/>
        <v>0.25080000000000002</v>
      </c>
      <c r="X32" s="107">
        <v>7.17E-2</v>
      </c>
      <c r="Y32" s="105">
        <f t="shared" si="23"/>
        <v>0.2868</v>
      </c>
      <c r="AA32" s="54">
        <f t="shared" si="16"/>
        <v>3.5999999999999976E-2</v>
      </c>
      <c r="AB32" s="54">
        <f t="shared" si="17"/>
        <v>3.5999999999999976E-2</v>
      </c>
    </row>
    <row r="33" spans="2:28" ht="15" outlineLevel="1" x14ac:dyDescent="0.25">
      <c r="B33" s="25"/>
      <c r="C33" s="26" t="s">
        <v>92</v>
      </c>
      <c r="D33" s="26"/>
      <c r="E33" s="26" t="s">
        <v>93</v>
      </c>
      <c r="F33" s="26"/>
      <c r="G33" s="26"/>
      <c r="H33" s="26">
        <v>4</v>
      </c>
      <c r="I33" s="62">
        <f>+'Top Level'!E11</f>
        <v>3.1E-2</v>
      </c>
      <c r="J33" s="52">
        <f t="shared" si="18"/>
        <v>0.124</v>
      </c>
      <c r="K33" s="62">
        <f t="shared" si="24"/>
        <v>3.1E-2</v>
      </c>
      <c r="L33" s="52">
        <f t="shared" si="19"/>
        <v>0.124</v>
      </c>
      <c r="M33" s="62">
        <f>+'Top Level'!F11</f>
        <v>3.1E-2</v>
      </c>
      <c r="N33" s="52">
        <f t="shared" si="20"/>
        <v>0.124</v>
      </c>
      <c r="O33" s="165">
        <v>1.49E-2</v>
      </c>
      <c r="P33" s="27">
        <f t="shared" si="21"/>
        <v>5.96E-2</v>
      </c>
      <c r="T33" s="132">
        <v>4</v>
      </c>
      <c r="U33" s="103" t="s">
        <v>24</v>
      </c>
      <c r="V33" s="107">
        <v>1.49E-2</v>
      </c>
      <c r="W33" s="357">
        <f t="shared" si="22"/>
        <v>5.96E-2</v>
      </c>
      <c r="X33" s="107">
        <v>1.49E-2</v>
      </c>
      <c r="Y33" s="105">
        <f t="shared" si="23"/>
        <v>5.96E-2</v>
      </c>
      <c r="AA33" s="54">
        <f t="shared" si="16"/>
        <v>6.4399999999999999E-2</v>
      </c>
      <c r="AB33" s="54">
        <f t="shared" si="17"/>
        <v>6.4399999999999999E-2</v>
      </c>
    </row>
    <row r="34" spans="2:28" ht="15" outlineLevel="1" x14ac:dyDescent="0.25">
      <c r="B34" s="25"/>
      <c r="C34" s="26" t="s">
        <v>94</v>
      </c>
      <c r="D34" s="26"/>
      <c r="E34" s="26" t="s">
        <v>95</v>
      </c>
      <c r="F34" s="26"/>
      <c r="G34" s="26"/>
      <c r="H34" s="26">
        <v>1</v>
      </c>
      <c r="I34" s="62">
        <f>+'Top Level'!E9</f>
        <v>2.5000000000000001E-2</v>
      </c>
      <c r="J34" s="52">
        <f t="shared" si="18"/>
        <v>2.5000000000000001E-2</v>
      </c>
      <c r="K34" s="62">
        <f t="shared" si="24"/>
        <v>2.5000000000000001E-2</v>
      </c>
      <c r="L34" s="52">
        <f t="shared" si="19"/>
        <v>2.5000000000000001E-2</v>
      </c>
      <c r="M34" s="62">
        <f>+'Top Level'!F9</f>
        <v>2.5000000000000001E-2</v>
      </c>
      <c r="N34" s="52">
        <f t="shared" si="20"/>
        <v>2.5000000000000001E-2</v>
      </c>
      <c r="O34" s="62">
        <v>2.5000000000000001E-2</v>
      </c>
      <c r="P34" s="27">
        <f t="shared" si="21"/>
        <v>2.5000000000000001E-2</v>
      </c>
      <c r="T34" s="132">
        <v>1</v>
      </c>
      <c r="U34" s="103" t="s">
        <v>96</v>
      </c>
      <c r="V34" s="107">
        <v>5.1999999999999998E-2</v>
      </c>
      <c r="W34" s="357">
        <f t="shared" si="22"/>
        <v>5.1999999999999998E-2</v>
      </c>
      <c r="X34" s="107">
        <v>5.1999999999999998E-2</v>
      </c>
      <c r="Y34" s="105">
        <f t="shared" si="23"/>
        <v>5.1999999999999998E-2</v>
      </c>
      <c r="AA34" s="54">
        <f t="shared" si="16"/>
        <v>-2.6999999999999996E-2</v>
      </c>
      <c r="AB34" s="54">
        <f t="shared" si="17"/>
        <v>-2.6999999999999996E-2</v>
      </c>
    </row>
    <row r="35" spans="2:28" ht="15" outlineLevel="1" x14ac:dyDescent="0.25">
      <c r="B35" s="25"/>
      <c r="C35" s="26" t="s">
        <v>97</v>
      </c>
      <c r="D35" s="26"/>
      <c r="E35" s="26"/>
      <c r="F35" s="26"/>
      <c r="G35" s="26"/>
      <c r="H35" s="26">
        <v>0.04</v>
      </c>
      <c r="I35" s="62">
        <f>+'Top Level'!E28</f>
        <v>3.5999999999999997E-2</v>
      </c>
      <c r="J35" s="52">
        <f t="shared" si="18"/>
        <v>1.4399999999999999E-3</v>
      </c>
      <c r="K35" s="62">
        <f t="shared" si="24"/>
        <v>3.5999999999999997E-2</v>
      </c>
      <c r="L35" s="52">
        <f t="shared" si="19"/>
        <v>1.4399999999999999E-3</v>
      </c>
      <c r="M35" s="62">
        <f>+'Top Level'!F28</f>
        <v>3.5999999999999997E-2</v>
      </c>
      <c r="N35" s="52">
        <f t="shared" si="20"/>
        <v>1.4399999999999999E-3</v>
      </c>
      <c r="O35" s="62">
        <v>0.19</v>
      </c>
      <c r="P35" s="27">
        <f t="shared" si="21"/>
        <v>7.6E-3</v>
      </c>
      <c r="T35" s="132"/>
      <c r="U35" s="103"/>
      <c r="V35" s="107"/>
      <c r="W35" s="357">
        <f t="shared" si="22"/>
        <v>0</v>
      </c>
      <c r="X35" s="107"/>
      <c r="Y35" s="105">
        <f t="shared" si="23"/>
        <v>0</v>
      </c>
      <c r="AA35" s="54">
        <f t="shared" si="16"/>
        <v>1.4399999999999999E-3</v>
      </c>
      <c r="AB35" s="54">
        <f t="shared" si="17"/>
        <v>1.4399999999999999E-3</v>
      </c>
    </row>
    <row r="36" spans="2:28" ht="15" outlineLevel="1" x14ac:dyDescent="0.25">
      <c r="B36" s="25"/>
      <c r="C36" s="26" t="s">
        <v>98</v>
      </c>
      <c r="D36" s="26"/>
      <c r="E36" s="26" t="s">
        <v>99</v>
      </c>
      <c r="F36" s="26"/>
      <c r="G36" s="26"/>
      <c r="H36" s="26">
        <v>1</v>
      </c>
      <c r="I36" s="62">
        <f>+'Top Level'!E12</f>
        <v>0.88200000000000001</v>
      </c>
      <c r="J36" s="52">
        <f t="shared" si="18"/>
        <v>0.88200000000000001</v>
      </c>
      <c r="K36" s="62">
        <f t="shared" si="24"/>
        <v>0.88200000000000001</v>
      </c>
      <c r="L36" s="52">
        <f t="shared" si="19"/>
        <v>0.88200000000000001</v>
      </c>
      <c r="M36" s="62">
        <f>+'Top Level'!F12</f>
        <v>0.88200000000000001</v>
      </c>
      <c r="N36" s="52">
        <f t="shared" si="20"/>
        <v>0.88200000000000001</v>
      </c>
      <c r="O36" s="165">
        <v>0.68</v>
      </c>
      <c r="P36" s="27">
        <f t="shared" si="21"/>
        <v>0.68</v>
      </c>
      <c r="T36" s="132">
        <v>1</v>
      </c>
      <c r="U36" s="103" t="s">
        <v>100</v>
      </c>
      <c r="V36" s="107">
        <v>0.68</v>
      </c>
      <c r="W36" s="357">
        <f t="shared" si="22"/>
        <v>0.68</v>
      </c>
      <c r="X36" s="107">
        <v>0.68</v>
      </c>
      <c r="Y36" s="105">
        <f t="shared" si="23"/>
        <v>0.68</v>
      </c>
      <c r="AA36" s="54">
        <f t="shared" si="16"/>
        <v>0.20199999999999996</v>
      </c>
      <c r="AB36" s="54">
        <f t="shared" si="17"/>
        <v>0.20199999999999996</v>
      </c>
    </row>
    <row r="37" spans="2:28" ht="15" outlineLevel="1" x14ac:dyDescent="0.25">
      <c r="B37" s="25"/>
      <c r="C37" s="26" t="s">
        <v>101</v>
      </c>
      <c r="D37" s="26"/>
      <c r="E37" s="26" t="s">
        <v>102</v>
      </c>
      <c r="F37" s="26"/>
      <c r="G37" s="26"/>
      <c r="H37" s="26">
        <v>1.5748</v>
      </c>
      <c r="I37" s="62">
        <f>+'Top Level'!E15</f>
        <v>9.9000000000000005E-2</v>
      </c>
      <c r="J37" s="52">
        <f t="shared" si="18"/>
        <v>0.15590519999999999</v>
      </c>
      <c r="K37" s="62">
        <f t="shared" si="24"/>
        <v>9.9000000000000005E-2</v>
      </c>
      <c r="L37" s="52">
        <f t="shared" si="19"/>
        <v>0.15590519999999999</v>
      </c>
      <c r="M37" s="62">
        <f>+'Top Level'!F15</f>
        <v>9.9000000000000005E-2</v>
      </c>
      <c r="N37" s="52">
        <f t="shared" si="20"/>
        <v>0.15590519999999999</v>
      </c>
      <c r="O37" s="62">
        <v>9.9000000000000005E-2</v>
      </c>
      <c r="P37" s="27">
        <f t="shared" si="21"/>
        <v>0.15590519999999999</v>
      </c>
      <c r="T37" s="132">
        <v>1</v>
      </c>
      <c r="U37" s="103"/>
      <c r="V37" s="107">
        <v>0.161</v>
      </c>
      <c r="W37" s="357">
        <f t="shared" si="22"/>
        <v>0.161</v>
      </c>
      <c r="X37" s="107">
        <v>0.15509999999999999</v>
      </c>
      <c r="Y37" s="105">
        <f t="shared" si="23"/>
        <v>0.15509999999999999</v>
      </c>
      <c r="AA37" s="54">
        <f t="shared" si="16"/>
        <v>-5.0948000000000104E-3</v>
      </c>
      <c r="AB37" s="54">
        <f t="shared" si="17"/>
        <v>-5.0948000000000104E-3</v>
      </c>
    </row>
    <row r="38" spans="2:28" ht="15" outlineLevel="1" x14ac:dyDescent="0.25">
      <c r="B38" s="25"/>
      <c r="C38" s="26" t="s">
        <v>103</v>
      </c>
      <c r="D38" s="26"/>
      <c r="E38" s="26" t="s">
        <v>104</v>
      </c>
      <c r="F38" s="26"/>
      <c r="G38" s="26"/>
      <c r="H38" s="26">
        <v>1</v>
      </c>
      <c r="I38" s="62">
        <f>+'Top Level'!E17</f>
        <v>8.86</v>
      </c>
      <c r="J38" s="52">
        <f t="shared" si="18"/>
        <v>8.86</v>
      </c>
      <c r="K38" s="62">
        <f t="shared" si="24"/>
        <v>8.86</v>
      </c>
      <c r="L38" s="52">
        <f t="shared" si="19"/>
        <v>8.86</v>
      </c>
      <c r="M38" s="62">
        <f>+'Top Level'!F17</f>
        <v>8.86</v>
      </c>
      <c r="N38" s="52">
        <f t="shared" si="20"/>
        <v>8.86</v>
      </c>
      <c r="O38" s="336">
        <v>7.54</v>
      </c>
      <c r="P38" s="27">
        <f t="shared" si="21"/>
        <v>7.54</v>
      </c>
      <c r="T38" s="132">
        <v>1</v>
      </c>
      <c r="U38" s="103" t="s">
        <v>34</v>
      </c>
      <c r="V38" s="104">
        <v>7.13</v>
      </c>
      <c r="W38" s="357">
        <f t="shared" si="22"/>
        <v>7.13</v>
      </c>
      <c r="X38" s="106">
        <v>7.14</v>
      </c>
      <c r="Y38" s="105">
        <f t="shared" si="23"/>
        <v>7.14</v>
      </c>
      <c r="AA38" s="54">
        <f t="shared" si="16"/>
        <v>1.7299999999999995</v>
      </c>
      <c r="AB38" s="54">
        <f t="shared" si="17"/>
        <v>1.7299999999999995</v>
      </c>
    </row>
    <row r="39" spans="2:28" ht="15" outlineLevel="2" x14ac:dyDescent="0.25">
      <c r="B39" s="47"/>
      <c r="C39" s="48"/>
      <c r="D39" s="48" t="s">
        <v>105</v>
      </c>
      <c r="E39" s="48" t="s">
        <v>106</v>
      </c>
      <c r="F39" s="48"/>
      <c r="G39" s="48"/>
      <c r="H39" s="48"/>
      <c r="I39" s="63"/>
      <c r="J39" s="53"/>
      <c r="K39" s="63"/>
      <c r="L39" s="53"/>
      <c r="M39" s="63"/>
      <c r="N39" s="53"/>
      <c r="O39" s="63"/>
      <c r="P39" s="49"/>
      <c r="T39" s="133"/>
      <c r="U39" s="110"/>
      <c r="V39" s="111"/>
      <c r="W39" s="358"/>
      <c r="X39" s="111"/>
      <c r="Y39" s="112"/>
      <c r="AA39" s="54">
        <f t="shared" si="16"/>
        <v>0</v>
      </c>
      <c r="AB39" s="54">
        <f t="shared" si="17"/>
        <v>0</v>
      </c>
    </row>
    <row r="40" spans="2:28" ht="15" outlineLevel="1" x14ac:dyDescent="0.25">
      <c r="B40" s="25"/>
      <c r="C40" s="26" t="s">
        <v>107</v>
      </c>
      <c r="D40" s="26"/>
      <c r="E40" s="26" t="s">
        <v>108</v>
      </c>
      <c r="F40" s="26"/>
      <c r="G40" s="26"/>
      <c r="H40" s="26">
        <v>1</v>
      </c>
      <c r="I40" s="62">
        <f>+'Top Level'!E18</f>
        <v>0.60599999999999998</v>
      </c>
      <c r="J40" s="52">
        <f t="shared" ref="J40:J49" si="25">$H40*I40</f>
        <v>0.60599999999999998</v>
      </c>
      <c r="K40" s="62">
        <f t="shared" si="24"/>
        <v>0.60599999999999998</v>
      </c>
      <c r="L40" s="52">
        <f t="shared" ref="L40:L49" si="26">$H40*K40</f>
        <v>0.60599999999999998</v>
      </c>
      <c r="M40" s="62">
        <f>+'Top Level'!F18</f>
        <v>0.60599999999999998</v>
      </c>
      <c r="N40" s="52">
        <f t="shared" ref="N40:N49" si="27">$H40*M40</f>
        <v>0.60599999999999998</v>
      </c>
      <c r="O40" s="180">
        <v>0.45</v>
      </c>
      <c r="P40" s="27">
        <f t="shared" ref="P40:P49" si="28">$H40*O40</f>
        <v>0.45</v>
      </c>
      <c r="T40" s="132">
        <v>1</v>
      </c>
      <c r="U40" s="103" t="s">
        <v>38</v>
      </c>
      <c r="V40" s="107">
        <v>0.58830000000000005</v>
      </c>
      <c r="W40" s="357">
        <f t="shared" ref="W40:W49" si="29">+V40*T40</f>
        <v>0.58830000000000005</v>
      </c>
      <c r="X40" s="106">
        <v>0.60599999999999998</v>
      </c>
      <c r="Y40" s="105">
        <f t="shared" ref="Y40:Y49" si="30">+X40*T40</f>
        <v>0.60599999999999998</v>
      </c>
      <c r="AA40" s="54">
        <f t="shared" ref="AA40:AA55" si="31">+J40-W40</f>
        <v>1.7699999999999938E-2</v>
      </c>
      <c r="AB40" s="54">
        <f t="shared" ref="AB40:AB55" si="32">+L40-W40</f>
        <v>1.7699999999999938E-2</v>
      </c>
    </row>
    <row r="41" spans="2:28" ht="14.25" customHeight="1" outlineLevel="1" x14ac:dyDescent="0.25">
      <c r="B41" s="25"/>
      <c r="C41" s="26" t="s">
        <v>109</v>
      </c>
      <c r="D41" s="26"/>
      <c r="E41" s="26" t="s">
        <v>110</v>
      </c>
      <c r="F41" s="26"/>
      <c r="G41" s="26"/>
      <c r="H41" s="26">
        <v>1</v>
      </c>
      <c r="I41" s="62">
        <f>+'Top Level'!E22</f>
        <v>0.31</v>
      </c>
      <c r="J41" s="52">
        <f t="shared" si="25"/>
        <v>0.31</v>
      </c>
      <c r="K41" s="62">
        <f t="shared" si="24"/>
        <v>0.31</v>
      </c>
      <c r="L41" s="52">
        <f t="shared" si="26"/>
        <v>0.31</v>
      </c>
      <c r="M41" s="62">
        <f>+'Top Level'!F22</f>
        <v>0.31</v>
      </c>
      <c r="N41" s="52">
        <f t="shared" si="27"/>
        <v>0.31</v>
      </c>
      <c r="O41" s="62">
        <v>0.31</v>
      </c>
      <c r="P41" s="27">
        <f t="shared" si="28"/>
        <v>0.31</v>
      </c>
      <c r="T41" s="132">
        <v>1</v>
      </c>
      <c r="U41" s="103" t="s">
        <v>81</v>
      </c>
      <c r="V41" s="107">
        <v>0.31</v>
      </c>
      <c r="W41" s="357">
        <f t="shared" si="29"/>
        <v>0.31</v>
      </c>
      <c r="X41" s="107">
        <v>0.31</v>
      </c>
      <c r="Y41" s="105">
        <f t="shared" si="30"/>
        <v>0.31</v>
      </c>
      <c r="AA41" s="54">
        <f t="shared" si="31"/>
        <v>0</v>
      </c>
      <c r="AB41" s="54">
        <f t="shared" si="32"/>
        <v>0</v>
      </c>
    </row>
    <row r="42" spans="2:28" ht="15" outlineLevel="1" x14ac:dyDescent="0.25">
      <c r="B42" s="25"/>
      <c r="C42" s="26" t="s">
        <v>111</v>
      </c>
      <c r="D42" s="26"/>
      <c r="E42" s="26" t="s">
        <v>112</v>
      </c>
      <c r="F42" s="26"/>
      <c r="G42" s="26"/>
      <c r="H42" s="26">
        <v>1</v>
      </c>
      <c r="I42" s="62">
        <f>+'Top Level'!E23</f>
        <v>0.59699999999999998</v>
      </c>
      <c r="J42" s="52">
        <f t="shared" si="25"/>
        <v>0.59699999999999998</v>
      </c>
      <c r="K42" s="62">
        <f t="shared" si="24"/>
        <v>0.59699999999999998</v>
      </c>
      <c r="L42" s="52">
        <f t="shared" si="26"/>
        <v>0.59699999999999998</v>
      </c>
      <c r="M42" s="62">
        <f>+'Top Level'!F23</f>
        <v>0.59699999999999998</v>
      </c>
      <c r="N42" s="52">
        <f t="shared" si="27"/>
        <v>0.59699999999999998</v>
      </c>
      <c r="O42" s="62">
        <v>0.53110000000000002</v>
      </c>
      <c r="P42" s="27">
        <f t="shared" si="28"/>
        <v>0.53110000000000002</v>
      </c>
      <c r="T42" s="132">
        <v>1</v>
      </c>
      <c r="U42" s="103" t="s">
        <v>113</v>
      </c>
      <c r="V42" s="107">
        <v>0.38200000000000001</v>
      </c>
      <c r="W42" s="357">
        <f t="shared" si="29"/>
        <v>0.38200000000000001</v>
      </c>
      <c r="X42" s="107">
        <v>0.38200000000000001</v>
      </c>
      <c r="Y42" s="105">
        <f t="shared" si="30"/>
        <v>0.38200000000000001</v>
      </c>
      <c r="AA42" s="54">
        <f t="shared" si="31"/>
        <v>0.21499999999999997</v>
      </c>
      <c r="AB42" s="54">
        <f t="shared" si="32"/>
        <v>0.21499999999999997</v>
      </c>
    </row>
    <row r="43" spans="2:28" ht="15" outlineLevel="1" x14ac:dyDescent="0.25">
      <c r="B43" s="25"/>
      <c r="C43" s="26" t="s">
        <v>114</v>
      </c>
      <c r="D43" s="26"/>
      <c r="E43" s="26" t="s">
        <v>115</v>
      </c>
      <c r="F43" s="26"/>
      <c r="G43" s="26"/>
      <c r="H43" s="26">
        <v>1</v>
      </c>
      <c r="I43" s="62">
        <f>+'Top Level'!E24</f>
        <v>0.59499999999999997</v>
      </c>
      <c r="J43" s="52">
        <f t="shared" si="25"/>
        <v>0.59499999999999997</v>
      </c>
      <c r="K43" s="62">
        <f t="shared" si="24"/>
        <v>0.59499999999999997</v>
      </c>
      <c r="L43" s="52">
        <f t="shared" si="26"/>
        <v>0.59499999999999997</v>
      </c>
      <c r="M43" s="62">
        <f>+'Top Level'!F24</f>
        <v>0.59499999999999997</v>
      </c>
      <c r="N43" s="52">
        <f t="shared" si="27"/>
        <v>0.59499999999999997</v>
      </c>
      <c r="O43" s="62">
        <v>0.53110000000000002</v>
      </c>
      <c r="P43" s="27">
        <f t="shared" si="28"/>
        <v>0.53110000000000002</v>
      </c>
      <c r="T43" s="132">
        <v>1</v>
      </c>
      <c r="U43" s="103" t="s">
        <v>113</v>
      </c>
      <c r="V43" s="107">
        <v>0.38200000000000001</v>
      </c>
      <c r="W43" s="357">
        <f t="shared" si="29"/>
        <v>0.38200000000000001</v>
      </c>
      <c r="X43" s="107">
        <v>0.36980000000000002</v>
      </c>
      <c r="Y43" s="105">
        <f t="shared" si="30"/>
        <v>0.36980000000000002</v>
      </c>
      <c r="AA43" s="54">
        <f t="shared" si="31"/>
        <v>0.21299999999999997</v>
      </c>
      <c r="AB43" s="54">
        <f t="shared" si="32"/>
        <v>0.21299999999999997</v>
      </c>
    </row>
    <row r="44" spans="2:28" ht="15" outlineLevel="1" x14ac:dyDescent="0.25">
      <c r="B44" s="25"/>
      <c r="C44" s="26" t="s">
        <v>116</v>
      </c>
      <c r="D44" s="26"/>
      <c r="E44" s="26" t="s">
        <v>117</v>
      </c>
      <c r="F44" s="26"/>
      <c r="G44" s="26"/>
      <c r="H44" s="26">
        <v>1</v>
      </c>
      <c r="I44" s="62">
        <f>+'Top Level'!E25</f>
        <v>0.51700000000000002</v>
      </c>
      <c r="J44" s="52">
        <f t="shared" si="25"/>
        <v>0.51700000000000002</v>
      </c>
      <c r="K44" s="62">
        <f t="shared" si="24"/>
        <v>0.51700000000000002</v>
      </c>
      <c r="L44" s="52">
        <f t="shared" si="26"/>
        <v>0.51700000000000002</v>
      </c>
      <c r="M44" s="62">
        <f>+'Top Level'!F25</f>
        <v>0.51700000000000002</v>
      </c>
      <c r="N44" s="52">
        <f t="shared" si="27"/>
        <v>0.51700000000000002</v>
      </c>
      <c r="O44" s="62">
        <v>0.41839999999999999</v>
      </c>
      <c r="P44" s="27">
        <f t="shared" si="28"/>
        <v>0.41839999999999999</v>
      </c>
      <c r="T44" s="132">
        <v>1</v>
      </c>
      <c r="U44" s="103" t="s">
        <v>113</v>
      </c>
      <c r="V44" s="107">
        <v>0.24829999999999999</v>
      </c>
      <c r="W44" s="357">
        <f t="shared" si="29"/>
        <v>0.24829999999999999</v>
      </c>
      <c r="X44" s="107">
        <v>0.2407</v>
      </c>
      <c r="Y44" s="105">
        <f t="shared" si="30"/>
        <v>0.2407</v>
      </c>
      <c r="AA44" s="54">
        <f t="shared" si="31"/>
        <v>0.26870000000000005</v>
      </c>
      <c r="AB44" s="54">
        <f t="shared" si="32"/>
        <v>0.26870000000000005</v>
      </c>
    </row>
    <row r="45" spans="2:28" ht="15" outlineLevel="1" x14ac:dyDescent="0.25">
      <c r="B45" s="25"/>
      <c r="C45" s="26" t="s">
        <v>118</v>
      </c>
      <c r="D45" s="26"/>
      <c r="E45" s="26" t="s">
        <v>119</v>
      </c>
      <c r="F45" s="26"/>
      <c r="G45" s="26"/>
      <c r="H45" s="26">
        <v>1</v>
      </c>
      <c r="I45" s="62">
        <f>+'Top Level'!E28</f>
        <v>3.5999999999999997E-2</v>
      </c>
      <c r="J45" s="52">
        <f t="shared" si="25"/>
        <v>3.5999999999999997E-2</v>
      </c>
      <c r="K45" s="62">
        <f t="shared" si="24"/>
        <v>3.5999999999999997E-2</v>
      </c>
      <c r="L45" s="52">
        <f t="shared" si="26"/>
        <v>3.5999999999999997E-2</v>
      </c>
      <c r="M45" s="62">
        <f>+'Top Level'!F28</f>
        <v>3.5999999999999997E-2</v>
      </c>
      <c r="N45" s="52">
        <f t="shared" si="27"/>
        <v>3.5999999999999997E-2</v>
      </c>
      <c r="O45" s="62">
        <v>3.5000000000000003E-2</v>
      </c>
      <c r="P45" s="27">
        <f t="shared" si="28"/>
        <v>3.5000000000000003E-2</v>
      </c>
      <c r="T45" s="132">
        <v>1</v>
      </c>
      <c r="U45" s="103" t="s">
        <v>120</v>
      </c>
      <c r="V45" s="107">
        <v>3.5400000000000001E-2</v>
      </c>
      <c r="W45" s="357">
        <f t="shared" si="29"/>
        <v>3.5400000000000001E-2</v>
      </c>
      <c r="X45" s="107">
        <v>3.04E-2</v>
      </c>
      <c r="Y45" s="105">
        <f t="shared" si="30"/>
        <v>3.04E-2</v>
      </c>
      <c r="AA45" s="54">
        <f t="shared" si="31"/>
        <v>5.9999999999999637E-4</v>
      </c>
      <c r="AB45" s="54">
        <f t="shared" si="32"/>
        <v>5.9999999999999637E-4</v>
      </c>
    </row>
    <row r="46" spans="2:28" ht="15" outlineLevel="1" x14ac:dyDescent="0.25">
      <c r="B46" s="25"/>
      <c r="C46" s="26" t="s">
        <v>121</v>
      </c>
      <c r="D46" s="26"/>
      <c r="E46" s="26" t="s">
        <v>122</v>
      </c>
      <c r="F46" s="26"/>
      <c r="G46" s="26"/>
      <c r="H46" s="26">
        <v>1</v>
      </c>
      <c r="I46" s="62">
        <f>+'Top Level'!E29</f>
        <v>2.4E-2</v>
      </c>
      <c r="J46" s="52">
        <f t="shared" si="25"/>
        <v>2.4E-2</v>
      </c>
      <c r="K46" s="62">
        <f t="shared" si="24"/>
        <v>2.4E-2</v>
      </c>
      <c r="L46" s="52">
        <f t="shared" si="26"/>
        <v>2.4E-2</v>
      </c>
      <c r="M46" s="62">
        <f>+'Top Level'!F29</f>
        <v>2.4E-2</v>
      </c>
      <c r="N46" s="52">
        <f t="shared" si="27"/>
        <v>2.4E-2</v>
      </c>
      <c r="O46" s="62">
        <v>2.4E-2</v>
      </c>
      <c r="P46" s="27">
        <f t="shared" si="28"/>
        <v>2.4E-2</v>
      </c>
      <c r="T46" s="132">
        <v>1</v>
      </c>
      <c r="U46" s="103" t="s">
        <v>120</v>
      </c>
      <c r="V46" s="107">
        <v>2.4E-2</v>
      </c>
      <c r="W46" s="357">
        <f t="shared" si="29"/>
        <v>2.4E-2</v>
      </c>
      <c r="X46" s="107">
        <v>3.4000000000000002E-2</v>
      </c>
      <c r="Y46" s="105">
        <f t="shared" si="30"/>
        <v>3.4000000000000002E-2</v>
      </c>
      <c r="AA46" s="54">
        <f t="shared" si="31"/>
        <v>0</v>
      </c>
      <c r="AB46" s="54">
        <f t="shared" si="32"/>
        <v>0</v>
      </c>
    </row>
    <row r="47" spans="2:28" ht="15" outlineLevel="1" x14ac:dyDescent="0.25">
      <c r="B47" s="25"/>
      <c r="C47" s="26" t="s">
        <v>123</v>
      </c>
      <c r="D47" s="26"/>
      <c r="E47" s="26" t="s">
        <v>124</v>
      </c>
      <c r="F47" s="26"/>
      <c r="G47" s="26"/>
      <c r="H47" s="26">
        <v>1</v>
      </c>
      <c r="I47" s="62">
        <f>+'Top Level'!E30</f>
        <v>3.6999999999999998E-2</v>
      </c>
      <c r="J47" s="52">
        <f t="shared" si="25"/>
        <v>3.6999999999999998E-2</v>
      </c>
      <c r="K47" s="62">
        <f t="shared" si="24"/>
        <v>3.6999999999999998E-2</v>
      </c>
      <c r="L47" s="52">
        <f t="shared" si="26"/>
        <v>3.6999999999999998E-2</v>
      </c>
      <c r="M47" s="62">
        <f>+'Top Level'!F30</f>
        <v>3.6999999999999998E-2</v>
      </c>
      <c r="N47" s="52">
        <f t="shared" si="27"/>
        <v>3.6999999999999998E-2</v>
      </c>
      <c r="O47" s="62">
        <v>5.2999999999999999E-2</v>
      </c>
      <c r="P47" s="27">
        <f t="shared" si="28"/>
        <v>5.2999999999999999E-2</v>
      </c>
      <c r="T47" s="132">
        <v>1</v>
      </c>
      <c r="U47" s="103" t="s">
        <v>125</v>
      </c>
      <c r="V47" s="107">
        <v>6.3399999999999998E-2</v>
      </c>
      <c r="W47" s="357">
        <f t="shared" si="29"/>
        <v>6.3399999999999998E-2</v>
      </c>
      <c r="X47" s="107">
        <v>5.2900000000000003E-2</v>
      </c>
      <c r="Y47" s="105">
        <f t="shared" si="30"/>
        <v>5.2900000000000003E-2</v>
      </c>
      <c r="AA47" s="54">
        <f t="shared" si="31"/>
        <v>-2.64E-2</v>
      </c>
      <c r="AB47" s="54">
        <f t="shared" si="32"/>
        <v>-2.64E-2</v>
      </c>
    </row>
    <row r="48" spans="2:28" ht="15" outlineLevel="1" x14ac:dyDescent="0.25">
      <c r="B48" s="25"/>
      <c r="C48" s="26" t="s">
        <v>126</v>
      </c>
      <c r="D48" s="26"/>
      <c r="E48" s="26" t="s">
        <v>127</v>
      </c>
      <c r="F48" s="26"/>
      <c r="G48" s="26"/>
      <c r="H48" s="26">
        <v>1</v>
      </c>
      <c r="I48" s="62">
        <f>+'Top Level'!E34</f>
        <v>6.7000000000000004E-2</v>
      </c>
      <c r="J48" s="52">
        <f t="shared" si="25"/>
        <v>6.7000000000000004E-2</v>
      </c>
      <c r="K48" s="62">
        <f t="shared" ref="K48:K55" si="33">+M48</f>
        <v>6.7000000000000004E-2</v>
      </c>
      <c r="L48" s="52">
        <f t="shared" si="26"/>
        <v>6.7000000000000004E-2</v>
      </c>
      <c r="M48" s="62">
        <f>+'Top Level'!F34</f>
        <v>6.7000000000000004E-2</v>
      </c>
      <c r="N48" s="52">
        <f t="shared" si="27"/>
        <v>6.7000000000000004E-2</v>
      </c>
      <c r="O48" s="165">
        <v>6.6299999999999998E-2</v>
      </c>
      <c r="P48" s="27">
        <f t="shared" si="28"/>
        <v>6.6299999999999998E-2</v>
      </c>
      <c r="T48" s="132">
        <v>1</v>
      </c>
      <c r="U48" s="103" t="s">
        <v>128</v>
      </c>
      <c r="V48" s="107">
        <v>6.83E-2</v>
      </c>
      <c r="W48" s="357">
        <f t="shared" si="29"/>
        <v>6.83E-2</v>
      </c>
      <c r="X48" s="107">
        <v>6.6299999999999998E-2</v>
      </c>
      <c r="Y48" s="105">
        <f t="shared" si="30"/>
        <v>6.6299999999999998E-2</v>
      </c>
      <c r="AA48" s="54">
        <f t="shared" si="31"/>
        <v>-1.2999999999999956E-3</v>
      </c>
      <c r="AB48" s="54">
        <f t="shared" si="32"/>
        <v>-1.2999999999999956E-3</v>
      </c>
    </row>
    <row r="49" spans="2:28" ht="15" outlineLevel="1" x14ac:dyDescent="0.25">
      <c r="B49" s="25"/>
      <c r="C49" s="171" t="s">
        <v>129</v>
      </c>
      <c r="D49" s="171"/>
      <c r="E49" s="171" t="s">
        <v>130</v>
      </c>
      <c r="F49" s="171"/>
      <c r="G49" s="171"/>
      <c r="H49" s="171">
        <v>1</v>
      </c>
      <c r="I49" s="172">
        <f>+'Top Level'!E38</f>
        <v>0.96</v>
      </c>
      <c r="J49" s="367">
        <f t="shared" si="25"/>
        <v>0.96</v>
      </c>
      <c r="K49" s="172">
        <f t="shared" si="33"/>
        <v>0.96</v>
      </c>
      <c r="L49" s="367">
        <f t="shared" si="26"/>
        <v>0.96</v>
      </c>
      <c r="M49" s="172">
        <f>+'Top Level'!F38</f>
        <v>0.96</v>
      </c>
      <c r="N49" s="367">
        <f t="shared" si="27"/>
        <v>0.96</v>
      </c>
      <c r="O49" s="172">
        <v>0.96</v>
      </c>
      <c r="P49" s="173">
        <f t="shared" si="28"/>
        <v>0.96</v>
      </c>
      <c r="T49" s="132">
        <v>1</v>
      </c>
      <c r="U49" s="103" t="s">
        <v>131</v>
      </c>
      <c r="V49" s="104">
        <v>0.96</v>
      </c>
      <c r="W49" s="357">
        <f t="shared" si="29"/>
        <v>0.96</v>
      </c>
      <c r="X49" s="106">
        <v>0.85</v>
      </c>
      <c r="Y49" s="105">
        <f t="shared" si="30"/>
        <v>0.85</v>
      </c>
      <c r="AA49" s="54">
        <f t="shared" si="31"/>
        <v>0</v>
      </c>
      <c r="AB49" s="54">
        <f t="shared" si="32"/>
        <v>0</v>
      </c>
    </row>
    <row r="50" spans="2:28" ht="15" outlineLevel="2" x14ac:dyDescent="0.25">
      <c r="B50" s="47"/>
      <c r="C50" s="48"/>
      <c r="D50" s="48" t="s">
        <v>132</v>
      </c>
      <c r="E50" s="48" t="s">
        <v>133</v>
      </c>
      <c r="F50" s="48"/>
      <c r="G50" s="48"/>
      <c r="H50" s="48"/>
      <c r="I50" s="63"/>
      <c r="J50" s="53"/>
      <c r="K50" s="63"/>
      <c r="L50" s="53"/>
      <c r="M50" s="63"/>
      <c r="N50" s="53"/>
      <c r="O50" s="63"/>
      <c r="P50" s="49"/>
      <c r="T50" s="133"/>
      <c r="U50" s="110">
        <v>0.02</v>
      </c>
      <c r="V50" s="111"/>
      <c r="W50" s="358"/>
      <c r="X50" s="111"/>
      <c r="Y50" s="112"/>
      <c r="AA50" s="54">
        <f t="shared" si="31"/>
        <v>0</v>
      </c>
      <c r="AB50" s="54">
        <f t="shared" si="32"/>
        <v>0</v>
      </c>
    </row>
    <row r="51" spans="2:28" ht="15" outlineLevel="2" x14ac:dyDescent="0.25">
      <c r="B51" s="47"/>
      <c r="C51" s="48"/>
      <c r="D51" s="48" t="s">
        <v>134</v>
      </c>
      <c r="E51" s="48" t="s">
        <v>135</v>
      </c>
      <c r="F51" s="48"/>
      <c r="G51" s="48"/>
      <c r="H51" s="48"/>
      <c r="I51" s="63"/>
      <c r="J51" s="53"/>
      <c r="K51" s="63"/>
      <c r="L51" s="53"/>
      <c r="M51" s="63"/>
      <c r="N51" s="53"/>
      <c r="O51" s="63"/>
      <c r="P51" s="49"/>
      <c r="T51" s="133"/>
      <c r="U51" s="110">
        <v>0.12</v>
      </c>
      <c r="V51" s="111"/>
      <c r="W51" s="358"/>
      <c r="X51" s="111"/>
      <c r="Y51" s="112"/>
      <c r="AA51" s="54">
        <f t="shared" si="31"/>
        <v>0</v>
      </c>
      <c r="AB51" s="54">
        <f t="shared" si="32"/>
        <v>0</v>
      </c>
    </row>
    <row r="52" spans="2:28" ht="15" outlineLevel="2" x14ac:dyDescent="0.25">
      <c r="B52" s="47"/>
      <c r="C52" s="48"/>
      <c r="D52" s="48" t="s">
        <v>136</v>
      </c>
      <c r="E52" s="48" t="s">
        <v>137</v>
      </c>
      <c r="F52" s="48"/>
      <c r="G52" s="48"/>
      <c r="H52" s="48"/>
      <c r="I52" s="63"/>
      <c r="J52" s="53"/>
      <c r="K52" s="63"/>
      <c r="L52" s="53"/>
      <c r="M52" s="63"/>
      <c r="N52" s="53"/>
      <c r="O52" s="63"/>
      <c r="P52" s="49"/>
      <c r="T52" s="133"/>
      <c r="U52" s="110">
        <v>7.7799999999999994E-2</v>
      </c>
      <c r="V52" s="111"/>
      <c r="W52" s="358"/>
      <c r="X52" s="111"/>
      <c r="Y52" s="112"/>
      <c r="AA52" s="54">
        <f t="shared" si="31"/>
        <v>0</v>
      </c>
      <c r="AB52" s="54">
        <f t="shared" si="32"/>
        <v>0</v>
      </c>
    </row>
    <row r="53" spans="2:28" ht="15" outlineLevel="1" x14ac:dyDescent="0.25">
      <c r="B53" s="25"/>
      <c r="C53" s="26" t="s">
        <v>138</v>
      </c>
      <c r="D53" s="26"/>
      <c r="E53" s="26" t="s">
        <v>139</v>
      </c>
      <c r="F53" s="26"/>
      <c r="G53" s="26"/>
      <c r="H53" s="26">
        <v>1</v>
      </c>
      <c r="I53" s="62">
        <f>+'Top Level'!E39</f>
        <v>0.44</v>
      </c>
      <c r="J53" s="52">
        <f>$H53*I53</f>
        <v>0.44</v>
      </c>
      <c r="K53" s="62">
        <f t="shared" si="33"/>
        <v>0.44</v>
      </c>
      <c r="L53" s="52">
        <f>$H53*K53</f>
        <v>0.44</v>
      </c>
      <c r="M53" s="62">
        <f>+'Top Level'!F39</f>
        <v>0.44</v>
      </c>
      <c r="N53" s="52">
        <f>$H53*M53</f>
        <v>0.44</v>
      </c>
      <c r="O53" s="62">
        <v>0.44</v>
      </c>
      <c r="P53" s="27">
        <f>$H53*O53</f>
        <v>0.44</v>
      </c>
      <c r="T53" s="132">
        <v>1</v>
      </c>
      <c r="U53" s="103" t="s">
        <v>131</v>
      </c>
      <c r="V53" s="107">
        <v>0.44</v>
      </c>
      <c r="W53" s="357">
        <f>+V53*T53</f>
        <v>0.44</v>
      </c>
      <c r="X53" s="107">
        <v>0.44</v>
      </c>
      <c r="Y53" s="105">
        <f>+X53*T53</f>
        <v>0.44</v>
      </c>
      <c r="AA53" s="54">
        <f t="shared" si="31"/>
        <v>0</v>
      </c>
      <c r="AB53" s="54">
        <f t="shared" si="32"/>
        <v>0</v>
      </c>
    </row>
    <row r="54" spans="2:28" ht="15" outlineLevel="1" x14ac:dyDescent="0.25">
      <c r="B54" s="25"/>
      <c r="C54" s="26" t="s">
        <v>140</v>
      </c>
      <c r="D54" s="26"/>
      <c r="E54" s="26" t="s">
        <v>141</v>
      </c>
      <c r="F54" s="26"/>
      <c r="G54" s="26"/>
      <c r="H54" s="26">
        <v>1</v>
      </c>
      <c r="I54" s="62">
        <f>+'Top Level'!E44</f>
        <v>0.04</v>
      </c>
      <c r="J54" s="52">
        <f>$H54*I54</f>
        <v>0.04</v>
      </c>
      <c r="K54" s="62">
        <f t="shared" si="33"/>
        <v>0.04</v>
      </c>
      <c r="L54" s="52">
        <f>$H54*K54</f>
        <v>0.04</v>
      </c>
      <c r="M54" s="62">
        <f>+'Top Level'!F44</f>
        <v>0.04</v>
      </c>
      <c r="N54" s="52">
        <f>$H54*M54</f>
        <v>0.04</v>
      </c>
      <c r="O54" s="165">
        <v>3.49E-2</v>
      </c>
      <c r="P54" s="27">
        <f>$H54*O54</f>
        <v>3.49E-2</v>
      </c>
      <c r="T54" s="132">
        <v>1</v>
      </c>
      <c r="U54" s="103"/>
      <c r="V54" s="107">
        <v>3.5700000000000003E-2</v>
      </c>
      <c r="W54" s="357">
        <f>+V54*T105</f>
        <v>3.5700000000000003E-2</v>
      </c>
      <c r="X54" s="107">
        <v>3.44E-2</v>
      </c>
      <c r="Y54" s="105">
        <f>+X54*T105</f>
        <v>3.44E-2</v>
      </c>
      <c r="AA54" s="54">
        <f t="shared" si="31"/>
        <v>4.2999999999999983E-3</v>
      </c>
      <c r="AB54" s="54">
        <f t="shared" si="32"/>
        <v>4.2999999999999983E-3</v>
      </c>
    </row>
    <row r="55" spans="2:28" ht="15" outlineLevel="1" x14ac:dyDescent="0.25">
      <c r="B55" s="25"/>
      <c r="C55" s="26" t="s">
        <v>142</v>
      </c>
      <c r="D55" s="26"/>
      <c r="E55" s="26" t="s">
        <v>143</v>
      </c>
      <c r="F55" s="26"/>
      <c r="G55" s="26"/>
      <c r="H55" s="26">
        <v>1</v>
      </c>
      <c r="I55" s="62">
        <f>+'Top Level'!E45</f>
        <v>5.76</v>
      </c>
      <c r="J55" s="52">
        <f>$H55*I55</f>
        <v>5.76</v>
      </c>
      <c r="K55" s="62">
        <f t="shared" si="33"/>
        <v>5.56</v>
      </c>
      <c r="L55" s="52">
        <f>$H55*K55</f>
        <v>5.56</v>
      </c>
      <c r="M55" s="62">
        <f>+'Top Level'!F45</f>
        <v>5.56</v>
      </c>
      <c r="N55" s="52">
        <f>$H55*M55</f>
        <v>5.56</v>
      </c>
      <c r="O55" s="165">
        <v>5.56</v>
      </c>
      <c r="P55" s="27">
        <f>$H55*O55</f>
        <v>5.56</v>
      </c>
      <c r="T55" s="134">
        <v>8</v>
      </c>
      <c r="U55" s="103" t="s">
        <v>144</v>
      </c>
      <c r="V55" s="107">
        <v>5.7</v>
      </c>
      <c r="W55" s="357">
        <f>+V55*T106</f>
        <v>5.7</v>
      </c>
      <c r="X55" s="106">
        <v>5.7</v>
      </c>
      <c r="Y55" s="105">
        <f>+X55*T106</f>
        <v>5.7</v>
      </c>
      <c r="AA55" s="54">
        <f t="shared" si="31"/>
        <v>5.9999999999999609E-2</v>
      </c>
      <c r="AB55" s="54">
        <f t="shared" si="32"/>
        <v>-0.14000000000000057</v>
      </c>
    </row>
    <row r="56" spans="2:28" ht="15" outlineLevel="1" x14ac:dyDescent="0.25">
      <c r="B56" s="25"/>
      <c r="C56" s="26"/>
      <c r="D56" s="26"/>
      <c r="E56" s="26" t="s">
        <v>145</v>
      </c>
      <c r="F56" s="26"/>
      <c r="G56" s="26"/>
      <c r="H56" s="26"/>
      <c r="I56" s="62"/>
      <c r="J56" s="52"/>
      <c r="K56" s="62"/>
      <c r="L56" s="52">
        <f>+N56</f>
        <v>0</v>
      </c>
      <c r="M56" s="62"/>
      <c r="N56" s="52"/>
      <c r="O56" s="165"/>
      <c r="P56" s="27"/>
      <c r="R56" t="s">
        <v>146</v>
      </c>
      <c r="T56" s="134"/>
      <c r="U56" s="103"/>
      <c r="V56" s="107"/>
      <c r="W56" s="357">
        <v>1.1549</v>
      </c>
      <c r="X56" s="106"/>
      <c r="Y56" s="105">
        <v>1.1399999999999999</v>
      </c>
      <c r="AA56" s="54"/>
      <c r="AB56" s="54"/>
    </row>
    <row r="57" spans="2:28" ht="15.75" x14ac:dyDescent="0.25">
      <c r="B57" s="41"/>
      <c r="C57" s="42" t="s">
        <v>147</v>
      </c>
      <c r="D57" s="42"/>
      <c r="E57" s="42" t="s">
        <v>148</v>
      </c>
      <c r="F57" s="42"/>
      <c r="G57" s="42"/>
      <c r="H57" s="42">
        <v>1</v>
      </c>
      <c r="I57" s="61">
        <f>SUM(J58:J105)</f>
        <v>31.600999999999999</v>
      </c>
      <c r="J57" s="366">
        <f>SUM(J58:J106)</f>
        <v>36.949500639999997</v>
      </c>
      <c r="K57" s="61">
        <f>SUM(L58:L105)+IF('Top Level'!L83&gt;1,0,PCA!L95)</f>
        <v>31.600999999999999</v>
      </c>
      <c r="L57" s="366">
        <f>SUM(L58:L106)+IF('Top Level'!L83&gt;1,0,PCA!L95)</f>
        <v>36.434184500000001</v>
      </c>
      <c r="M57" s="61">
        <f>SUM(N58:N105)+IF('Top Level'!L83&gt;1,0,PCA!L95)</f>
        <v>31.600999999999999</v>
      </c>
      <c r="N57" s="366">
        <f>SUM(N58:N106)+IF('Top Level'!L83&gt;1,0,PCA!L95)</f>
        <v>36.434184500000001</v>
      </c>
      <c r="O57" s="61">
        <f>SUM(P58:P105)</f>
        <v>29.446700000000003</v>
      </c>
      <c r="P57" s="46">
        <f>SUM(P58:P106)</f>
        <v>32.459700000000005</v>
      </c>
      <c r="T57" s="134">
        <v>2</v>
      </c>
      <c r="U57" s="113"/>
      <c r="V57" s="107">
        <f>SUM(W58:W105)</f>
        <v>28.667399999999994</v>
      </c>
      <c r="W57" s="114">
        <f>SUM(W58:W106)</f>
        <v>31.284999999999993</v>
      </c>
      <c r="X57" s="107">
        <f>+Y57-Y106</f>
        <v>29.446700000000007</v>
      </c>
      <c r="Y57" s="115">
        <f>SUM(Y58:Y106)</f>
        <v>32.459300000000006</v>
      </c>
      <c r="Z57" s="54">
        <f>+Y57-Y106</f>
        <v>29.446700000000007</v>
      </c>
      <c r="AA57" s="54"/>
      <c r="AB57" s="54"/>
    </row>
    <row r="58" spans="2:28" outlineLevel="1" x14ac:dyDescent="0.2">
      <c r="B58" s="25"/>
      <c r="C58" s="26"/>
      <c r="D58" s="26" t="s">
        <v>149</v>
      </c>
      <c r="E58" s="26" t="s">
        <v>150</v>
      </c>
      <c r="F58" s="26"/>
      <c r="G58" s="26"/>
      <c r="H58" s="26">
        <v>8</v>
      </c>
      <c r="I58" s="52">
        <f>+PCA!E6</f>
        <v>6.0000000000000001E-3</v>
      </c>
      <c r="J58" s="52">
        <f t="shared" ref="J58:J73" si="34">$H58*I58</f>
        <v>4.8000000000000001E-2</v>
      </c>
      <c r="K58" s="52">
        <f>+M58</f>
        <v>6.0000000000000001E-3</v>
      </c>
      <c r="L58" s="52">
        <f t="shared" ref="L58:L73" si="35">$H58*K58</f>
        <v>4.8000000000000001E-2</v>
      </c>
      <c r="M58" s="52">
        <f>+PCA!F6</f>
        <v>6.0000000000000001E-3</v>
      </c>
      <c r="N58" s="52">
        <f t="shared" ref="N58:N73" si="36">$H58*M58</f>
        <v>4.8000000000000001E-2</v>
      </c>
      <c r="O58" s="52">
        <v>8.0000000000000002E-3</v>
      </c>
      <c r="P58" s="27">
        <f t="shared" ref="P58:P73" si="37">$H58*O58</f>
        <v>6.4000000000000001E-2</v>
      </c>
      <c r="T58" s="134">
        <v>1</v>
      </c>
      <c r="U58" s="116" t="s">
        <v>151</v>
      </c>
      <c r="V58" s="117">
        <v>1.1299999999999999E-2</v>
      </c>
      <c r="W58" s="354">
        <f>+V58*T55</f>
        <v>9.0399999999999994E-2</v>
      </c>
      <c r="X58" s="117">
        <v>8.0000000000000002E-3</v>
      </c>
      <c r="Y58" s="118">
        <f>+X58*T55</f>
        <v>6.4000000000000001E-2</v>
      </c>
      <c r="AA58" s="54">
        <f t="shared" ref="AA58:AA71" si="38">+J58-W58</f>
        <v>-4.2399999999999993E-2</v>
      </c>
      <c r="AB58" s="54">
        <f t="shared" ref="AB58:AB71" si="39">+L58-W58</f>
        <v>-4.2399999999999993E-2</v>
      </c>
    </row>
    <row r="59" spans="2:28" outlineLevel="1" x14ac:dyDescent="0.2">
      <c r="B59" s="25"/>
      <c r="C59" s="26"/>
      <c r="D59" s="26" t="s">
        <v>152</v>
      </c>
      <c r="E59" s="26" t="s">
        <v>153</v>
      </c>
      <c r="F59" s="26"/>
      <c r="G59" s="26"/>
      <c r="H59" s="26">
        <v>2</v>
      </c>
      <c r="I59" s="52">
        <f>+PCA!E7</f>
        <v>6.0000000000000001E-3</v>
      </c>
      <c r="J59" s="52">
        <f t="shared" si="34"/>
        <v>1.2E-2</v>
      </c>
      <c r="K59" s="52">
        <f t="shared" ref="K59:K74" si="40">+M59</f>
        <v>6.0000000000000001E-3</v>
      </c>
      <c r="L59" s="52">
        <f t="shared" si="35"/>
        <v>1.2E-2</v>
      </c>
      <c r="M59" s="52">
        <f>+PCA!F7</f>
        <v>6.0000000000000001E-3</v>
      </c>
      <c r="N59" s="52">
        <f t="shared" si="36"/>
        <v>1.2E-2</v>
      </c>
      <c r="O59" s="52">
        <v>6.1999999999999998E-3</v>
      </c>
      <c r="P59" s="27">
        <f t="shared" si="37"/>
        <v>1.24E-2</v>
      </c>
      <c r="T59" s="134">
        <v>1</v>
      </c>
      <c r="U59" s="116" t="s">
        <v>151</v>
      </c>
      <c r="V59" s="117">
        <v>8.9999999999999993E-3</v>
      </c>
      <c r="W59" s="354">
        <f t="shared" ref="W59:W86" si="41">+V59*T57</f>
        <v>1.7999999999999999E-2</v>
      </c>
      <c r="X59" s="117">
        <v>6.1999999999999998E-3</v>
      </c>
      <c r="Y59" s="118">
        <f t="shared" ref="Y59:Y86" si="42">+X59*T57</f>
        <v>1.24E-2</v>
      </c>
      <c r="AA59" s="54">
        <f t="shared" si="38"/>
        <v>-5.9999999999999984E-3</v>
      </c>
      <c r="AB59" s="54">
        <f t="shared" si="39"/>
        <v>-5.9999999999999984E-3</v>
      </c>
    </row>
    <row r="60" spans="2:28" outlineLevel="1" x14ac:dyDescent="0.2">
      <c r="B60" s="25"/>
      <c r="C60" s="26"/>
      <c r="D60" s="26" t="s">
        <v>154</v>
      </c>
      <c r="E60" s="26" t="s">
        <v>155</v>
      </c>
      <c r="F60" s="26"/>
      <c r="G60" s="26"/>
      <c r="H60" s="26">
        <v>1</v>
      </c>
      <c r="I60" s="52">
        <f>+PCA!E8</f>
        <v>6.0000000000000001E-3</v>
      </c>
      <c r="J60" s="52">
        <f t="shared" si="34"/>
        <v>6.0000000000000001E-3</v>
      </c>
      <c r="K60" s="52">
        <f t="shared" si="40"/>
        <v>6.0000000000000001E-3</v>
      </c>
      <c r="L60" s="52">
        <f t="shared" si="35"/>
        <v>6.0000000000000001E-3</v>
      </c>
      <c r="M60" s="52">
        <f>+PCA!F8</f>
        <v>6.0000000000000001E-3</v>
      </c>
      <c r="N60" s="52">
        <f t="shared" si="36"/>
        <v>6.0000000000000001E-3</v>
      </c>
      <c r="O60" s="52">
        <v>6.3E-3</v>
      </c>
      <c r="P60" s="27">
        <f t="shared" si="37"/>
        <v>6.3E-3</v>
      </c>
      <c r="T60" s="134">
        <v>3</v>
      </c>
      <c r="U60" s="116" t="s">
        <v>151</v>
      </c>
      <c r="V60" s="117">
        <v>1.1299999999999999E-2</v>
      </c>
      <c r="W60" s="354">
        <f t="shared" si="41"/>
        <v>1.1299999999999999E-2</v>
      </c>
      <c r="X60" s="117">
        <v>6.3E-3</v>
      </c>
      <c r="Y60" s="118">
        <f t="shared" si="42"/>
        <v>6.3E-3</v>
      </c>
      <c r="AA60" s="54">
        <f t="shared" si="38"/>
        <v>-5.2999999999999992E-3</v>
      </c>
      <c r="AB60" s="54">
        <f t="shared" si="39"/>
        <v>-5.2999999999999992E-3</v>
      </c>
    </row>
    <row r="61" spans="2:28" outlineLevel="1" x14ac:dyDescent="0.2">
      <c r="B61" s="25"/>
      <c r="C61" s="26"/>
      <c r="D61" s="26" t="s">
        <v>156</v>
      </c>
      <c r="E61" s="26" t="s">
        <v>157</v>
      </c>
      <c r="F61" s="26"/>
      <c r="G61" s="26"/>
      <c r="H61" s="26">
        <v>1</v>
      </c>
      <c r="I61" s="52">
        <f>+PCA!E9</f>
        <v>6.0000000000000001E-3</v>
      </c>
      <c r="J61" s="52">
        <f t="shared" si="34"/>
        <v>6.0000000000000001E-3</v>
      </c>
      <c r="K61" s="52">
        <f t="shared" si="40"/>
        <v>6.0000000000000001E-3</v>
      </c>
      <c r="L61" s="52">
        <f t="shared" si="35"/>
        <v>6.0000000000000001E-3</v>
      </c>
      <c r="M61" s="52">
        <f>+PCA!F9</f>
        <v>6.0000000000000001E-3</v>
      </c>
      <c r="N61" s="52">
        <f t="shared" si="36"/>
        <v>6.0000000000000001E-3</v>
      </c>
      <c r="O61" s="52">
        <v>6.6E-3</v>
      </c>
      <c r="P61" s="27">
        <f t="shared" si="37"/>
        <v>6.6E-3</v>
      </c>
      <c r="T61" s="134">
        <v>1</v>
      </c>
      <c r="U61" s="116" t="s">
        <v>151</v>
      </c>
      <c r="V61" s="117">
        <v>8.9999999999999993E-3</v>
      </c>
      <c r="W61" s="354">
        <f t="shared" si="41"/>
        <v>8.9999999999999993E-3</v>
      </c>
      <c r="X61" s="117">
        <v>6.6E-3</v>
      </c>
      <c r="Y61" s="118">
        <f t="shared" si="42"/>
        <v>6.6E-3</v>
      </c>
      <c r="AA61" s="54">
        <f t="shared" si="38"/>
        <v>-2.9999999999999992E-3</v>
      </c>
      <c r="AB61" s="54">
        <f t="shared" si="39"/>
        <v>-2.9999999999999992E-3</v>
      </c>
    </row>
    <row r="62" spans="2:28" outlineLevel="1" x14ac:dyDescent="0.2">
      <c r="B62" s="25"/>
      <c r="C62" s="26"/>
      <c r="D62" s="26" t="s">
        <v>158</v>
      </c>
      <c r="E62" s="26" t="s">
        <v>159</v>
      </c>
      <c r="F62" s="26"/>
      <c r="G62" s="26"/>
      <c r="H62" s="26">
        <v>3</v>
      </c>
      <c r="I62" s="52">
        <f>+PCA!E10</f>
        <v>6.0000000000000001E-3</v>
      </c>
      <c r="J62" s="52">
        <f t="shared" si="34"/>
        <v>1.8000000000000002E-2</v>
      </c>
      <c r="K62" s="52">
        <f t="shared" si="40"/>
        <v>6.0000000000000001E-3</v>
      </c>
      <c r="L62" s="52">
        <f t="shared" si="35"/>
        <v>1.8000000000000002E-2</v>
      </c>
      <c r="M62" s="52">
        <f>+PCA!F10</f>
        <v>6.0000000000000001E-3</v>
      </c>
      <c r="N62" s="52">
        <f t="shared" si="36"/>
        <v>1.8000000000000002E-2</v>
      </c>
      <c r="O62" s="52">
        <v>8.3000000000000001E-3</v>
      </c>
      <c r="P62" s="27">
        <f t="shared" si="37"/>
        <v>2.4899999999999999E-2</v>
      </c>
      <c r="T62" s="134">
        <v>3</v>
      </c>
      <c r="U62" s="116" t="s">
        <v>151</v>
      </c>
      <c r="V62" s="117">
        <v>1.1299999999999999E-2</v>
      </c>
      <c r="W62" s="354">
        <f t="shared" si="41"/>
        <v>3.39E-2</v>
      </c>
      <c r="X62" s="117">
        <v>8.3000000000000001E-3</v>
      </c>
      <c r="Y62" s="118">
        <f t="shared" si="42"/>
        <v>2.4899999999999999E-2</v>
      </c>
      <c r="AA62" s="54">
        <f t="shared" si="38"/>
        <v>-1.5899999999999997E-2</v>
      </c>
      <c r="AB62" s="54">
        <f t="shared" si="39"/>
        <v>-1.5899999999999997E-2</v>
      </c>
    </row>
    <row r="63" spans="2:28" outlineLevel="1" x14ac:dyDescent="0.2">
      <c r="B63" s="25"/>
      <c r="C63" s="26"/>
      <c r="D63" s="26" t="s">
        <v>160</v>
      </c>
      <c r="E63" s="26" t="s">
        <v>161</v>
      </c>
      <c r="F63" s="26"/>
      <c r="G63" s="26"/>
      <c r="H63" s="26">
        <v>1</v>
      </c>
      <c r="I63" s="52">
        <f>+PCA!E11</f>
        <v>8.9999999999999993E-3</v>
      </c>
      <c r="J63" s="52">
        <f t="shared" si="34"/>
        <v>8.9999999999999993E-3</v>
      </c>
      <c r="K63" s="52">
        <f t="shared" si="40"/>
        <v>8.9999999999999993E-3</v>
      </c>
      <c r="L63" s="52">
        <f t="shared" si="35"/>
        <v>8.9999999999999993E-3</v>
      </c>
      <c r="M63" s="52">
        <f>+PCA!F11</f>
        <v>8.9999999999999993E-3</v>
      </c>
      <c r="N63" s="52">
        <f t="shared" si="36"/>
        <v>8.9999999999999993E-3</v>
      </c>
      <c r="O63" s="52">
        <v>0.01</v>
      </c>
      <c r="P63" s="27">
        <f t="shared" si="37"/>
        <v>0.01</v>
      </c>
      <c r="T63" s="134">
        <v>1</v>
      </c>
      <c r="U63" s="116" t="s">
        <v>162</v>
      </c>
      <c r="V63" s="117">
        <v>8.9999999999999993E-3</v>
      </c>
      <c r="W63" s="354">
        <f t="shared" si="41"/>
        <v>8.9999999999999993E-3</v>
      </c>
      <c r="X63" s="117">
        <v>0.01</v>
      </c>
      <c r="Y63" s="118">
        <f t="shared" si="42"/>
        <v>0.01</v>
      </c>
      <c r="AA63" s="54">
        <f t="shared" si="38"/>
        <v>0</v>
      </c>
      <c r="AB63" s="54">
        <f t="shared" si="39"/>
        <v>0</v>
      </c>
    </row>
    <row r="64" spans="2:28" outlineLevel="1" x14ac:dyDescent="0.2">
      <c r="B64" s="25"/>
      <c r="C64" s="26"/>
      <c r="D64" s="26" t="s">
        <v>163</v>
      </c>
      <c r="E64" s="26" t="s">
        <v>164</v>
      </c>
      <c r="F64" s="26"/>
      <c r="G64" s="26"/>
      <c r="H64" s="26">
        <v>3</v>
      </c>
      <c r="I64" s="52">
        <f>+PCA!E12</f>
        <v>1.4999999999999999E-2</v>
      </c>
      <c r="J64" s="52">
        <f t="shared" si="34"/>
        <v>4.4999999999999998E-2</v>
      </c>
      <c r="K64" s="52">
        <f t="shared" si="40"/>
        <v>1.4999999999999999E-2</v>
      </c>
      <c r="L64" s="52">
        <f t="shared" si="35"/>
        <v>4.4999999999999998E-2</v>
      </c>
      <c r="M64" s="52">
        <f>+PCA!F12</f>
        <v>1.4999999999999999E-2</v>
      </c>
      <c r="N64" s="52">
        <f t="shared" si="36"/>
        <v>4.4999999999999998E-2</v>
      </c>
      <c r="O64" s="52">
        <v>1.77E-2</v>
      </c>
      <c r="P64" s="27">
        <f t="shared" si="37"/>
        <v>5.3100000000000001E-2</v>
      </c>
      <c r="T64" s="134">
        <v>2</v>
      </c>
      <c r="U64" s="116" t="s">
        <v>151</v>
      </c>
      <c r="V64" s="117">
        <v>0.02</v>
      </c>
      <c r="W64" s="354">
        <f t="shared" si="41"/>
        <v>0.06</v>
      </c>
      <c r="X64" s="117">
        <v>1.77E-2</v>
      </c>
      <c r="Y64" s="118">
        <f t="shared" si="42"/>
        <v>5.3100000000000001E-2</v>
      </c>
      <c r="AA64" s="54">
        <f t="shared" si="38"/>
        <v>-1.4999999999999999E-2</v>
      </c>
      <c r="AB64" s="54">
        <f t="shared" si="39"/>
        <v>-1.4999999999999999E-2</v>
      </c>
    </row>
    <row r="65" spans="2:28" outlineLevel="1" x14ac:dyDescent="0.2">
      <c r="B65" s="25"/>
      <c r="C65" s="26"/>
      <c r="D65" s="26" t="s">
        <v>165</v>
      </c>
      <c r="E65" s="26" t="s">
        <v>166</v>
      </c>
      <c r="F65" s="26"/>
      <c r="G65" s="26"/>
      <c r="H65" s="26">
        <v>1</v>
      </c>
      <c r="I65" s="52">
        <f>+PCA!E14</f>
        <v>0.15</v>
      </c>
      <c r="J65" s="52">
        <f t="shared" si="34"/>
        <v>0.15</v>
      </c>
      <c r="K65" s="52">
        <f t="shared" si="40"/>
        <v>0.15</v>
      </c>
      <c r="L65" s="52">
        <f t="shared" si="35"/>
        <v>0.15</v>
      </c>
      <c r="M65" s="52">
        <f>+PCA!F14</f>
        <v>0.15</v>
      </c>
      <c r="N65" s="52">
        <f t="shared" si="36"/>
        <v>0.15</v>
      </c>
      <c r="O65" s="52">
        <v>0.16389999999999999</v>
      </c>
      <c r="P65" s="27">
        <f t="shared" si="37"/>
        <v>0.16389999999999999</v>
      </c>
      <c r="T65" s="134">
        <v>1</v>
      </c>
      <c r="U65" s="116" t="s">
        <v>162</v>
      </c>
      <c r="V65" s="117">
        <v>0.18</v>
      </c>
      <c r="W65" s="354">
        <f t="shared" si="41"/>
        <v>0.18</v>
      </c>
      <c r="X65" s="117">
        <v>0.16389999999999999</v>
      </c>
      <c r="Y65" s="118">
        <f t="shared" si="42"/>
        <v>0.16389999999999999</v>
      </c>
      <c r="AA65" s="54">
        <f t="shared" si="38"/>
        <v>-0.03</v>
      </c>
      <c r="AB65" s="54">
        <f t="shared" si="39"/>
        <v>-0.03</v>
      </c>
    </row>
    <row r="66" spans="2:28" outlineLevel="1" x14ac:dyDescent="0.2">
      <c r="B66" s="25" t="s">
        <v>167</v>
      </c>
      <c r="C66" s="26"/>
      <c r="D66" s="26" t="s">
        <v>168</v>
      </c>
      <c r="E66" s="26" t="s">
        <v>169</v>
      </c>
      <c r="F66" s="26"/>
      <c r="G66" s="26"/>
      <c r="H66" s="26">
        <v>2</v>
      </c>
      <c r="I66" s="52">
        <f>+PCA!E13</f>
        <v>0.14000000000000001</v>
      </c>
      <c r="J66" s="52">
        <f t="shared" si="34"/>
        <v>0.28000000000000003</v>
      </c>
      <c r="K66" s="52">
        <f t="shared" si="40"/>
        <v>0.14000000000000001</v>
      </c>
      <c r="L66" s="52">
        <f t="shared" si="35"/>
        <v>0.28000000000000003</v>
      </c>
      <c r="M66" s="52">
        <f>+PCA!F13</f>
        <v>0.14000000000000001</v>
      </c>
      <c r="N66" s="52">
        <f t="shared" si="36"/>
        <v>0.28000000000000003</v>
      </c>
      <c r="O66" s="52">
        <v>0.27500000000000002</v>
      </c>
      <c r="P66" s="27">
        <f t="shared" si="37"/>
        <v>0.55000000000000004</v>
      </c>
      <c r="T66" s="134">
        <v>26</v>
      </c>
      <c r="U66" s="116" t="s">
        <v>162</v>
      </c>
      <c r="V66" s="117">
        <v>0.17</v>
      </c>
      <c r="W66" s="354">
        <f t="shared" si="41"/>
        <v>0.34</v>
      </c>
      <c r="X66" s="117">
        <v>0.27500000000000002</v>
      </c>
      <c r="Y66" s="118">
        <f t="shared" si="42"/>
        <v>0.55000000000000004</v>
      </c>
      <c r="AA66" s="54">
        <f t="shared" si="38"/>
        <v>-0.06</v>
      </c>
      <c r="AB66" s="54">
        <f t="shared" si="39"/>
        <v>-0.06</v>
      </c>
    </row>
    <row r="67" spans="2:28" outlineLevel="1" x14ac:dyDescent="0.2">
      <c r="B67" s="25"/>
      <c r="C67" s="26"/>
      <c r="D67" s="26" t="s">
        <v>170</v>
      </c>
      <c r="E67" s="26" t="s">
        <v>171</v>
      </c>
      <c r="F67" s="26"/>
      <c r="G67" s="26"/>
      <c r="H67" s="26">
        <v>1</v>
      </c>
      <c r="I67" s="52">
        <f>+PCA!E15</f>
        <v>0.28999999999999998</v>
      </c>
      <c r="J67" s="52">
        <f t="shared" si="34"/>
        <v>0.28999999999999998</v>
      </c>
      <c r="K67" s="52">
        <f t="shared" si="40"/>
        <v>0.28999999999999998</v>
      </c>
      <c r="L67" s="52">
        <f t="shared" si="35"/>
        <v>0.28999999999999998</v>
      </c>
      <c r="M67" s="52">
        <f>+PCA!F15</f>
        <v>0.28999999999999998</v>
      </c>
      <c r="N67" s="52">
        <f t="shared" si="36"/>
        <v>0.28999999999999998</v>
      </c>
      <c r="O67" s="52">
        <v>0.36</v>
      </c>
      <c r="P67" s="27">
        <f t="shared" si="37"/>
        <v>0.36</v>
      </c>
      <c r="T67" s="134">
        <v>2</v>
      </c>
      <c r="U67" s="116" t="s">
        <v>172</v>
      </c>
      <c r="V67" s="117">
        <v>0.3</v>
      </c>
      <c r="W67" s="354">
        <f t="shared" si="41"/>
        <v>0.3</v>
      </c>
      <c r="X67" s="117">
        <v>0.36</v>
      </c>
      <c r="Y67" s="118">
        <f t="shared" si="42"/>
        <v>0.36</v>
      </c>
      <c r="AA67" s="54">
        <f t="shared" si="38"/>
        <v>-1.0000000000000009E-2</v>
      </c>
      <c r="AB67" s="54">
        <f t="shared" si="39"/>
        <v>-1.0000000000000009E-2</v>
      </c>
    </row>
    <row r="68" spans="2:28" outlineLevel="1" x14ac:dyDescent="0.2">
      <c r="B68" s="25"/>
      <c r="C68" s="26"/>
      <c r="D68" s="26" t="s">
        <v>173</v>
      </c>
      <c r="E68" s="26" t="s">
        <v>174</v>
      </c>
      <c r="F68" s="26"/>
      <c r="G68" s="26"/>
      <c r="H68" s="26">
        <v>26</v>
      </c>
      <c r="I68" s="52">
        <f>+PCA!E16</f>
        <v>2E-3</v>
      </c>
      <c r="J68" s="52">
        <f t="shared" si="34"/>
        <v>5.2000000000000005E-2</v>
      </c>
      <c r="K68" s="52">
        <f t="shared" si="40"/>
        <v>2E-3</v>
      </c>
      <c r="L68" s="52">
        <f t="shared" si="35"/>
        <v>5.2000000000000005E-2</v>
      </c>
      <c r="M68" s="52">
        <f>+PCA!F16</f>
        <v>2E-3</v>
      </c>
      <c r="N68" s="52">
        <f t="shared" si="36"/>
        <v>5.2000000000000005E-2</v>
      </c>
      <c r="O68" s="52">
        <v>3.3E-3</v>
      </c>
      <c r="P68" s="27">
        <f t="shared" si="37"/>
        <v>8.5800000000000001E-2</v>
      </c>
      <c r="T68" s="134">
        <v>6</v>
      </c>
      <c r="U68" s="116" t="s">
        <v>175</v>
      </c>
      <c r="V68" s="117">
        <v>4.0000000000000001E-3</v>
      </c>
      <c r="W68" s="354">
        <f t="shared" si="41"/>
        <v>0.10400000000000001</v>
      </c>
      <c r="X68" s="117">
        <v>3.3E-3</v>
      </c>
      <c r="Y68" s="118">
        <f t="shared" si="42"/>
        <v>8.5800000000000001E-2</v>
      </c>
      <c r="AA68" s="54">
        <f t="shared" si="38"/>
        <v>-5.2000000000000005E-2</v>
      </c>
      <c r="AB68" s="54">
        <f t="shared" si="39"/>
        <v>-5.2000000000000005E-2</v>
      </c>
    </row>
    <row r="69" spans="2:28" outlineLevel="1" x14ac:dyDescent="0.2">
      <c r="B69" s="25"/>
      <c r="C69" s="26"/>
      <c r="D69" s="26" t="s">
        <v>176</v>
      </c>
      <c r="E69" s="26" t="s">
        <v>177</v>
      </c>
      <c r="F69" s="26"/>
      <c r="G69" s="26"/>
      <c r="H69" s="26">
        <v>2</v>
      </c>
      <c r="I69" s="52">
        <f>+PCA!E17</f>
        <v>4.0000000000000001E-3</v>
      </c>
      <c r="J69" s="52">
        <f t="shared" si="34"/>
        <v>8.0000000000000002E-3</v>
      </c>
      <c r="K69" s="52">
        <f t="shared" si="40"/>
        <v>4.0000000000000001E-3</v>
      </c>
      <c r="L69" s="52">
        <f t="shared" si="35"/>
        <v>8.0000000000000002E-3</v>
      </c>
      <c r="M69" s="52">
        <f>+PCA!F17</f>
        <v>4.0000000000000001E-3</v>
      </c>
      <c r="N69" s="52">
        <f t="shared" si="36"/>
        <v>8.0000000000000002E-3</v>
      </c>
      <c r="O69" s="52">
        <v>5.3E-3</v>
      </c>
      <c r="P69" s="27">
        <f t="shared" si="37"/>
        <v>1.06E-2</v>
      </c>
      <c r="T69" s="134">
        <v>2</v>
      </c>
      <c r="U69" s="116" t="s">
        <v>178</v>
      </c>
      <c r="V69" s="117">
        <v>5.8999999999999999E-3</v>
      </c>
      <c r="W69" s="354">
        <f t="shared" si="41"/>
        <v>1.18E-2</v>
      </c>
      <c r="X69" s="117">
        <v>5.3E-3</v>
      </c>
      <c r="Y69" s="118">
        <f t="shared" si="42"/>
        <v>1.06E-2</v>
      </c>
      <c r="AA69" s="54">
        <f t="shared" si="38"/>
        <v>-3.7999999999999996E-3</v>
      </c>
      <c r="AB69" s="54">
        <f t="shared" si="39"/>
        <v>-3.7999999999999996E-3</v>
      </c>
    </row>
    <row r="70" spans="2:28" outlineLevel="1" x14ac:dyDescent="0.2">
      <c r="B70" s="25"/>
      <c r="C70" s="26"/>
      <c r="D70" s="26" t="s">
        <v>179</v>
      </c>
      <c r="E70" s="26" t="s">
        <v>180</v>
      </c>
      <c r="F70" s="26"/>
      <c r="G70" s="26"/>
      <c r="H70" s="26">
        <v>6</v>
      </c>
      <c r="I70" s="52">
        <f>+PCA!E18</f>
        <v>4.0000000000000001E-3</v>
      </c>
      <c r="J70" s="52">
        <f t="shared" si="34"/>
        <v>2.4E-2</v>
      </c>
      <c r="K70" s="52">
        <f t="shared" si="40"/>
        <v>4.0000000000000001E-3</v>
      </c>
      <c r="L70" s="52">
        <f t="shared" si="35"/>
        <v>2.4E-2</v>
      </c>
      <c r="M70" s="52">
        <f>+PCA!F18</f>
        <v>4.0000000000000001E-3</v>
      </c>
      <c r="N70" s="52">
        <f t="shared" si="36"/>
        <v>2.4E-2</v>
      </c>
      <c r="O70" s="52">
        <v>5.3E-3</v>
      </c>
      <c r="P70" s="27">
        <f t="shared" si="37"/>
        <v>3.1800000000000002E-2</v>
      </c>
      <c r="T70" s="134">
        <v>3</v>
      </c>
      <c r="U70" s="116" t="s">
        <v>175</v>
      </c>
      <c r="V70" s="117">
        <v>5.8999999999999999E-3</v>
      </c>
      <c r="W70" s="354">
        <f t="shared" si="41"/>
        <v>3.5400000000000001E-2</v>
      </c>
      <c r="X70" s="117">
        <v>5.3E-3</v>
      </c>
      <c r="Y70" s="118">
        <f t="shared" si="42"/>
        <v>3.1800000000000002E-2</v>
      </c>
      <c r="AA70" s="54">
        <f t="shared" si="38"/>
        <v>-1.14E-2</v>
      </c>
      <c r="AB70" s="54">
        <f t="shared" si="39"/>
        <v>-1.14E-2</v>
      </c>
    </row>
    <row r="71" spans="2:28" outlineLevel="1" x14ac:dyDescent="0.2">
      <c r="B71" s="25"/>
      <c r="C71" s="26"/>
      <c r="D71" s="26" t="s">
        <v>181</v>
      </c>
      <c r="E71" s="26" t="s">
        <v>182</v>
      </c>
      <c r="F71" s="26"/>
      <c r="G71" s="26"/>
      <c r="H71" s="26">
        <v>2</v>
      </c>
      <c r="I71" s="52">
        <f>+PCA!E19</f>
        <v>4.0000000000000001E-3</v>
      </c>
      <c r="J71" s="52">
        <f t="shared" si="34"/>
        <v>8.0000000000000002E-3</v>
      </c>
      <c r="K71" s="52">
        <f t="shared" si="40"/>
        <v>4.0000000000000001E-3</v>
      </c>
      <c r="L71" s="52">
        <f t="shared" si="35"/>
        <v>8.0000000000000002E-3</v>
      </c>
      <c r="M71" s="52">
        <f>+PCA!F19</f>
        <v>4.0000000000000001E-3</v>
      </c>
      <c r="N71" s="52">
        <f t="shared" si="36"/>
        <v>8.0000000000000002E-3</v>
      </c>
      <c r="O71" s="52">
        <v>5.3E-3</v>
      </c>
      <c r="P71" s="27">
        <f t="shared" si="37"/>
        <v>1.06E-2</v>
      </c>
      <c r="T71" s="134">
        <v>3</v>
      </c>
      <c r="U71" s="116" t="s">
        <v>178</v>
      </c>
      <c r="V71" s="117">
        <v>5.8999999999999999E-3</v>
      </c>
      <c r="W71" s="354">
        <f t="shared" si="41"/>
        <v>1.18E-2</v>
      </c>
      <c r="X71" s="117">
        <v>5.3E-3</v>
      </c>
      <c r="Y71" s="118">
        <f t="shared" si="42"/>
        <v>1.06E-2</v>
      </c>
      <c r="AA71" s="54">
        <f t="shared" si="38"/>
        <v>-3.7999999999999996E-3</v>
      </c>
      <c r="AB71" s="54">
        <f t="shared" si="39"/>
        <v>-3.7999999999999996E-3</v>
      </c>
    </row>
    <row r="72" spans="2:28" outlineLevel="1" x14ac:dyDescent="0.2">
      <c r="B72" s="25"/>
      <c r="C72" s="26"/>
      <c r="D72" s="26" t="s">
        <v>183</v>
      </c>
      <c r="E72" s="26" t="s">
        <v>184</v>
      </c>
      <c r="F72" s="26"/>
      <c r="G72" s="26"/>
      <c r="H72" s="26">
        <v>3</v>
      </c>
      <c r="I72" s="52">
        <f>+PCA!E20</f>
        <v>4.0000000000000001E-3</v>
      </c>
      <c r="J72" s="52">
        <f t="shared" si="34"/>
        <v>1.2E-2</v>
      </c>
      <c r="K72" s="52">
        <f t="shared" si="40"/>
        <v>4.0000000000000001E-3</v>
      </c>
      <c r="L72" s="52">
        <f t="shared" si="35"/>
        <v>1.2E-2</v>
      </c>
      <c r="M72" s="52">
        <f>+PCA!F20</f>
        <v>4.0000000000000001E-3</v>
      </c>
      <c r="N72" s="52">
        <f t="shared" si="36"/>
        <v>1.2E-2</v>
      </c>
      <c r="O72" s="52">
        <v>5.3E-3</v>
      </c>
      <c r="P72" s="27">
        <f t="shared" si="37"/>
        <v>1.5900000000000001E-2</v>
      </c>
      <c r="T72" s="134">
        <v>30</v>
      </c>
      <c r="U72" s="116" t="s">
        <v>175</v>
      </c>
      <c r="V72" s="117">
        <v>5.8999999999999999E-3</v>
      </c>
      <c r="W72" s="354">
        <f t="shared" si="41"/>
        <v>1.77E-2</v>
      </c>
      <c r="X72" s="117">
        <v>5.3E-3</v>
      </c>
      <c r="Y72" s="118">
        <f t="shared" si="42"/>
        <v>1.5900000000000001E-2</v>
      </c>
      <c r="AA72" s="54">
        <f t="shared" ref="AA72:AA87" si="43">+J72-W72</f>
        <v>-5.7000000000000002E-3</v>
      </c>
      <c r="AB72" s="54">
        <f t="shared" ref="AB72:AB87" si="44">+L72-W72</f>
        <v>-5.7000000000000002E-3</v>
      </c>
    </row>
    <row r="73" spans="2:28" outlineLevel="1" x14ac:dyDescent="0.2">
      <c r="B73" s="25"/>
      <c r="C73" s="26"/>
      <c r="D73" s="26" t="s">
        <v>185</v>
      </c>
      <c r="E73" s="26" t="s">
        <v>186</v>
      </c>
      <c r="F73" s="26"/>
      <c r="G73" s="26"/>
      <c r="H73" s="26">
        <v>3</v>
      </c>
      <c r="I73" s="52">
        <f>+PCA!E21</f>
        <v>4.0000000000000001E-3</v>
      </c>
      <c r="J73" s="52">
        <f t="shared" si="34"/>
        <v>1.2E-2</v>
      </c>
      <c r="K73" s="52">
        <f t="shared" si="40"/>
        <v>4.0000000000000001E-3</v>
      </c>
      <c r="L73" s="52">
        <f t="shared" si="35"/>
        <v>1.2E-2</v>
      </c>
      <c r="M73" s="52">
        <f>+PCA!F21</f>
        <v>4.0000000000000001E-3</v>
      </c>
      <c r="N73" s="52">
        <f t="shared" si="36"/>
        <v>1.2E-2</v>
      </c>
      <c r="O73" s="52">
        <v>4.7999999999999996E-3</v>
      </c>
      <c r="P73" s="27">
        <f t="shared" si="37"/>
        <v>1.44E-2</v>
      </c>
      <c r="T73" s="134">
        <v>1</v>
      </c>
      <c r="U73" s="116" t="s">
        <v>187</v>
      </c>
      <c r="V73" s="117">
        <v>5.8999999999999999E-3</v>
      </c>
      <c r="W73" s="354">
        <f t="shared" si="41"/>
        <v>1.77E-2</v>
      </c>
      <c r="X73" s="117">
        <v>4.7999999999999996E-3</v>
      </c>
      <c r="Y73" s="118">
        <f t="shared" si="42"/>
        <v>1.44E-2</v>
      </c>
      <c r="AA73" s="54">
        <f t="shared" si="43"/>
        <v>-5.7000000000000002E-3</v>
      </c>
      <c r="AB73" s="54">
        <f t="shared" si="44"/>
        <v>-5.7000000000000002E-3</v>
      </c>
    </row>
    <row r="74" spans="2:28" outlineLevel="1" x14ac:dyDescent="0.2">
      <c r="B74" s="25"/>
      <c r="C74" s="26"/>
      <c r="D74" s="26" t="s">
        <v>188</v>
      </c>
      <c r="E74" s="26" t="s">
        <v>189</v>
      </c>
      <c r="F74" s="26"/>
      <c r="G74" s="26"/>
      <c r="H74" s="26">
        <v>30</v>
      </c>
      <c r="I74" s="52">
        <f>+PCA!E22</f>
        <v>4.0000000000000001E-3</v>
      </c>
      <c r="J74" s="52">
        <f t="shared" ref="J74:J86" si="45">$H74*I74</f>
        <v>0.12</v>
      </c>
      <c r="K74" s="52">
        <f t="shared" si="40"/>
        <v>4.0000000000000001E-3</v>
      </c>
      <c r="L74" s="52">
        <f t="shared" ref="L74:L86" si="46">$H74*K74</f>
        <v>0.12</v>
      </c>
      <c r="M74" s="52">
        <f>+PCA!F22</f>
        <v>4.0000000000000001E-3</v>
      </c>
      <c r="N74" s="52">
        <f t="shared" ref="N74:N86" si="47">$H74*M74</f>
        <v>0.12</v>
      </c>
      <c r="O74" s="52">
        <v>4.0000000000000001E-3</v>
      </c>
      <c r="P74" s="27">
        <f t="shared" ref="P74:P86" si="48">$H74*O74</f>
        <v>0.12</v>
      </c>
      <c r="T74" s="134">
        <v>22</v>
      </c>
      <c r="U74" s="116" t="s">
        <v>175</v>
      </c>
      <c r="V74" s="117">
        <v>5.8999999999999999E-3</v>
      </c>
      <c r="W74" s="354">
        <f t="shared" si="41"/>
        <v>0.17699999999999999</v>
      </c>
      <c r="X74" s="117">
        <v>4.0000000000000001E-3</v>
      </c>
      <c r="Y74" s="118">
        <f t="shared" si="42"/>
        <v>0.12</v>
      </c>
      <c r="AA74" s="54">
        <f t="shared" si="43"/>
        <v>-5.6999999999999995E-2</v>
      </c>
      <c r="AB74" s="54">
        <f t="shared" si="44"/>
        <v>-5.6999999999999995E-2</v>
      </c>
    </row>
    <row r="75" spans="2:28" outlineLevel="1" x14ac:dyDescent="0.2">
      <c r="B75" s="25"/>
      <c r="C75" s="26"/>
      <c r="D75" s="26" t="s">
        <v>190</v>
      </c>
      <c r="E75" s="26" t="s">
        <v>191</v>
      </c>
      <c r="F75" s="26"/>
      <c r="G75" s="26"/>
      <c r="H75" s="26">
        <v>1</v>
      </c>
      <c r="I75" s="52">
        <f>+PCA!E23</f>
        <v>4.0000000000000001E-3</v>
      </c>
      <c r="J75" s="52">
        <f t="shared" si="45"/>
        <v>4.0000000000000001E-3</v>
      </c>
      <c r="K75" s="52">
        <f t="shared" ref="K75:K90" si="49">+M75</f>
        <v>4.0000000000000001E-3</v>
      </c>
      <c r="L75" s="52">
        <f t="shared" si="46"/>
        <v>4.0000000000000001E-3</v>
      </c>
      <c r="M75" s="52">
        <f>+PCA!F23</f>
        <v>4.0000000000000001E-3</v>
      </c>
      <c r="N75" s="52">
        <f t="shared" si="47"/>
        <v>4.0000000000000001E-3</v>
      </c>
      <c r="O75" s="52">
        <v>4.7999999999999996E-3</v>
      </c>
      <c r="P75" s="27">
        <f t="shared" si="48"/>
        <v>4.7999999999999996E-3</v>
      </c>
      <c r="T75" s="134">
        <v>1</v>
      </c>
      <c r="U75" s="116" t="s">
        <v>178</v>
      </c>
      <c r="V75" s="117">
        <v>5.8999999999999999E-3</v>
      </c>
      <c r="W75" s="354">
        <f t="shared" si="41"/>
        <v>5.8999999999999999E-3</v>
      </c>
      <c r="X75" s="117">
        <v>4.7999999999999996E-3</v>
      </c>
      <c r="Y75" s="118">
        <f t="shared" si="42"/>
        <v>4.7999999999999996E-3</v>
      </c>
      <c r="AA75" s="54">
        <f t="shared" si="43"/>
        <v>-1.8999999999999998E-3</v>
      </c>
      <c r="AB75" s="54">
        <f t="shared" si="44"/>
        <v>-1.8999999999999998E-3</v>
      </c>
    </row>
    <row r="76" spans="2:28" outlineLevel="1" x14ac:dyDescent="0.2">
      <c r="B76" s="25"/>
      <c r="C76" s="26"/>
      <c r="D76" s="26" t="s">
        <v>192</v>
      </c>
      <c r="E76" s="26" t="s">
        <v>193</v>
      </c>
      <c r="F76" s="26"/>
      <c r="G76" s="26"/>
      <c r="H76" s="26">
        <v>22</v>
      </c>
      <c r="I76" s="52">
        <f>+PCA!E24</f>
        <v>4.0000000000000001E-3</v>
      </c>
      <c r="J76" s="52">
        <f t="shared" si="45"/>
        <v>8.7999999999999995E-2</v>
      </c>
      <c r="K76" s="52">
        <f t="shared" si="49"/>
        <v>4.0000000000000001E-3</v>
      </c>
      <c r="L76" s="52">
        <f t="shared" si="46"/>
        <v>8.7999999999999995E-2</v>
      </c>
      <c r="M76" s="52">
        <f>+PCA!F24</f>
        <v>4.0000000000000001E-3</v>
      </c>
      <c r="N76" s="52">
        <f t="shared" si="47"/>
        <v>8.7999999999999995E-2</v>
      </c>
      <c r="O76" s="52">
        <v>5.0000000000000001E-3</v>
      </c>
      <c r="P76" s="27">
        <f t="shared" si="48"/>
        <v>0.11</v>
      </c>
      <c r="T76" s="134">
        <v>1</v>
      </c>
      <c r="U76" s="116" t="s">
        <v>175</v>
      </c>
      <c r="V76" s="117">
        <v>5.8999999999999999E-3</v>
      </c>
      <c r="W76" s="354">
        <f t="shared" si="41"/>
        <v>0.1298</v>
      </c>
      <c r="X76" s="117">
        <v>5.0000000000000001E-3</v>
      </c>
      <c r="Y76" s="118">
        <f t="shared" si="42"/>
        <v>0.11</v>
      </c>
      <c r="AA76" s="54">
        <f t="shared" si="43"/>
        <v>-4.1800000000000004E-2</v>
      </c>
      <c r="AB76" s="54">
        <f t="shared" si="44"/>
        <v>-4.1800000000000004E-2</v>
      </c>
    </row>
    <row r="77" spans="2:28" outlineLevel="1" x14ac:dyDescent="0.2">
      <c r="B77" s="25"/>
      <c r="C77" s="26"/>
      <c r="D77" s="26" t="s">
        <v>194</v>
      </c>
      <c r="E77" s="26" t="s">
        <v>195</v>
      </c>
      <c r="F77" s="26"/>
      <c r="G77" s="26"/>
      <c r="H77" s="26">
        <v>1</v>
      </c>
      <c r="I77" s="52">
        <f>+PCA!E25</f>
        <v>4.0000000000000001E-3</v>
      </c>
      <c r="J77" s="52">
        <f t="shared" si="45"/>
        <v>4.0000000000000001E-3</v>
      </c>
      <c r="K77" s="52">
        <f t="shared" si="49"/>
        <v>4.0000000000000001E-3</v>
      </c>
      <c r="L77" s="52">
        <f t="shared" si="46"/>
        <v>4.0000000000000001E-3</v>
      </c>
      <c r="M77" s="52">
        <f>+PCA!F25</f>
        <v>4.0000000000000001E-3</v>
      </c>
      <c r="N77" s="52">
        <f t="shared" si="47"/>
        <v>4.0000000000000001E-3</v>
      </c>
      <c r="O77" s="52">
        <v>5.3E-3</v>
      </c>
      <c r="P77" s="27">
        <f t="shared" si="48"/>
        <v>5.3E-3</v>
      </c>
      <c r="T77" s="134">
        <v>3</v>
      </c>
      <c r="U77" s="116" t="s">
        <v>175</v>
      </c>
      <c r="V77" s="117">
        <v>5.8999999999999999E-3</v>
      </c>
      <c r="W77" s="354">
        <f t="shared" si="41"/>
        <v>5.8999999999999999E-3</v>
      </c>
      <c r="X77" s="117">
        <v>5.3E-3</v>
      </c>
      <c r="Y77" s="118">
        <f t="shared" si="42"/>
        <v>5.3E-3</v>
      </c>
      <c r="AA77" s="54">
        <f t="shared" si="43"/>
        <v>-1.8999999999999998E-3</v>
      </c>
      <c r="AB77" s="54">
        <f t="shared" si="44"/>
        <v>-1.8999999999999998E-3</v>
      </c>
    </row>
    <row r="78" spans="2:28" outlineLevel="1" x14ac:dyDescent="0.2">
      <c r="B78" s="25"/>
      <c r="C78" s="26"/>
      <c r="D78" s="26" t="s">
        <v>196</v>
      </c>
      <c r="E78" s="26" t="s">
        <v>197</v>
      </c>
      <c r="F78" s="26"/>
      <c r="G78" s="26"/>
      <c r="H78" s="26">
        <v>1</v>
      </c>
      <c r="I78" s="52">
        <f>+PCA!E26</f>
        <v>4.0000000000000001E-3</v>
      </c>
      <c r="J78" s="52">
        <f t="shared" si="45"/>
        <v>4.0000000000000001E-3</v>
      </c>
      <c r="K78" s="52">
        <f t="shared" si="49"/>
        <v>4.0000000000000001E-3</v>
      </c>
      <c r="L78" s="52">
        <f t="shared" si="46"/>
        <v>4.0000000000000001E-3</v>
      </c>
      <c r="M78" s="52">
        <f>+PCA!F26</f>
        <v>4.0000000000000001E-3</v>
      </c>
      <c r="N78" s="52">
        <f t="shared" si="47"/>
        <v>4.0000000000000001E-3</v>
      </c>
      <c r="O78" s="52">
        <v>5.3E-3</v>
      </c>
      <c r="P78" s="27">
        <f t="shared" si="48"/>
        <v>5.3E-3</v>
      </c>
      <c r="T78" s="134">
        <v>1</v>
      </c>
      <c r="U78" s="116" t="s">
        <v>175</v>
      </c>
      <c r="V78" s="117">
        <v>5.8999999999999999E-3</v>
      </c>
      <c r="W78" s="354">
        <f t="shared" si="41"/>
        <v>5.8999999999999999E-3</v>
      </c>
      <c r="X78" s="117">
        <v>5.3E-3</v>
      </c>
      <c r="Y78" s="118">
        <f t="shared" si="42"/>
        <v>5.3E-3</v>
      </c>
      <c r="AA78" s="54">
        <f t="shared" si="43"/>
        <v>-1.8999999999999998E-3</v>
      </c>
      <c r="AB78" s="54">
        <f t="shared" si="44"/>
        <v>-1.8999999999999998E-3</v>
      </c>
    </row>
    <row r="79" spans="2:28" outlineLevel="1" x14ac:dyDescent="0.2">
      <c r="B79" s="25"/>
      <c r="C79" s="26"/>
      <c r="D79" s="26" t="s">
        <v>198</v>
      </c>
      <c r="E79" s="26" t="s">
        <v>199</v>
      </c>
      <c r="F79" s="26"/>
      <c r="G79" s="26"/>
      <c r="H79" s="26">
        <v>3</v>
      </c>
      <c r="I79" s="52">
        <f>+PCA!E27</f>
        <v>4.0000000000000001E-3</v>
      </c>
      <c r="J79" s="52">
        <f t="shared" si="45"/>
        <v>1.2E-2</v>
      </c>
      <c r="K79" s="52">
        <f t="shared" si="49"/>
        <v>4.0000000000000001E-3</v>
      </c>
      <c r="L79" s="52">
        <f t="shared" si="46"/>
        <v>1.2E-2</v>
      </c>
      <c r="M79" s="52">
        <f>+PCA!F27</f>
        <v>4.0000000000000001E-3</v>
      </c>
      <c r="N79" s="52">
        <f t="shared" si="47"/>
        <v>1.2E-2</v>
      </c>
      <c r="O79" s="52">
        <v>5.4999999999999997E-3</v>
      </c>
      <c r="P79" s="27">
        <f t="shared" si="48"/>
        <v>1.6500000000000001E-2</v>
      </c>
      <c r="T79" s="134">
        <v>1</v>
      </c>
      <c r="U79" s="116" t="s">
        <v>187</v>
      </c>
      <c r="V79" s="117">
        <v>5.8999999999999999E-3</v>
      </c>
      <c r="W79" s="354">
        <f t="shared" si="41"/>
        <v>1.77E-2</v>
      </c>
      <c r="X79" s="117">
        <v>5.4999999999999997E-3</v>
      </c>
      <c r="Y79" s="118">
        <f t="shared" si="42"/>
        <v>1.6500000000000001E-2</v>
      </c>
      <c r="AA79" s="54">
        <f t="shared" si="43"/>
        <v>-5.7000000000000002E-3</v>
      </c>
      <c r="AB79" s="54">
        <f t="shared" si="44"/>
        <v>-5.7000000000000002E-3</v>
      </c>
    </row>
    <row r="80" spans="2:28" outlineLevel="1" x14ac:dyDescent="0.2">
      <c r="B80" s="25"/>
      <c r="C80" s="26"/>
      <c r="D80" s="26" t="s">
        <v>200</v>
      </c>
      <c r="E80" s="26" t="s">
        <v>201</v>
      </c>
      <c r="F80" s="26"/>
      <c r="G80" s="26"/>
      <c r="H80" s="26">
        <v>1</v>
      </c>
      <c r="I80" s="52">
        <f>+PCA!E28</f>
        <v>4.0000000000000001E-3</v>
      </c>
      <c r="J80" s="52">
        <f t="shared" si="45"/>
        <v>4.0000000000000001E-3</v>
      </c>
      <c r="K80" s="52">
        <f t="shared" si="49"/>
        <v>4.0000000000000001E-3</v>
      </c>
      <c r="L80" s="52">
        <f t="shared" si="46"/>
        <v>4.0000000000000001E-3</v>
      </c>
      <c r="M80" s="52">
        <f>+PCA!F28</f>
        <v>4.0000000000000001E-3</v>
      </c>
      <c r="N80" s="52">
        <f t="shared" si="47"/>
        <v>4.0000000000000001E-3</v>
      </c>
      <c r="O80" s="52">
        <v>4.7999999999999996E-3</v>
      </c>
      <c r="P80" s="27">
        <f t="shared" si="48"/>
        <v>4.7999999999999996E-3</v>
      </c>
      <c r="T80" s="134">
        <v>1</v>
      </c>
      <c r="U80" s="116" t="s">
        <v>178</v>
      </c>
      <c r="V80" s="117">
        <v>5.8999999999999999E-3</v>
      </c>
      <c r="W80" s="354">
        <f t="shared" si="41"/>
        <v>5.8999999999999999E-3</v>
      </c>
      <c r="X80" s="117">
        <v>4.7999999999999996E-3</v>
      </c>
      <c r="Y80" s="118">
        <f t="shared" si="42"/>
        <v>4.7999999999999996E-3</v>
      </c>
      <c r="AA80" s="54">
        <f t="shared" si="43"/>
        <v>-1.8999999999999998E-3</v>
      </c>
      <c r="AB80" s="54">
        <f t="shared" si="44"/>
        <v>-1.8999999999999998E-3</v>
      </c>
    </row>
    <row r="81" spans="2:28" outlineLevel="1" x14ac:dyDescent="0.2">
      <c r="B81" s="25"/>
      <c r="C81" s="26"/>
      <c r="D81" s="26" t="s">
        <v>202</v>
      </c>
      <c r="E81" s="26" t="s">
        <v>203</v>
      </c>
      <c r="F81" s="26"/>
      <c r="G81" s="26"/>
      <c r="H81" s="26">
        <v>1</v>
      </c>
      <c r="I81" s="52">
        <f>+PCA!E29</f>
        <v>0.26</v>
      </c>
      <c r="J81" s="52">
        <f t="shared" si="45"/>
        <v>0.26</v>
      </c>
      <c r="K81" s="52">
        <f t="shared" si="49"/>
        <v>0.26</v>
      </c>
      <c r="L81" s="52">
        <f t="shared" si="46"/>
        <v>0.26</v>
      </c>
      <c r="M81" s="52">
        <f>+PCA!F29</f>
        <v>0.26</v>
      </c>
      <c r="N81" s="52">
        <f t="shared" si="47"/>
        <v>0.26</v>
      </c>
      <c r="O81" s="52">
        <v>0.65</v>
      </c>
      <c r="P81" s="27">
        <f t="shared" si="48"/>
        <v>0.65</v>
      </c>
      <c r="T81" s="134">
        <v>1</v>
      </c>
      <c r="U81" s="116" t="s">
        <v>204</v>
      </c>
      <c r="V81" s="117">
        <v>0.63</v>
      </c>
      <c r="W81" s="354">
        <f t="shared" si="41"/>
        <v>0.63</v>
      </c>
      <c r="X81" s="117">
        <v>0.65</v>
      </c>
      <c r="Y81" s="118">
        <f t="shared" si="42"/>
        <v>0.65</v>
      </c>
      <c r="AA81" s="54">
        <f t="shared" si="43"/>
        <v>-0.37</v>
      </c>
      <c r="AB81" s="54">
        <f t="shared" si="44"/>
        <v>-0.37</v>
      </c>
    </row>
    <row r="82" spans="2:28" outlineLevel="1" x14ac:dyDescent="0.2">
      <c r="B82" s="25"/>
      <c r="C82" s="26"/>
      <c r="D82" s="26" t="s">
        <v>205</v>
      </c>
      <c r="E82" s="26" t="s">
        <v>206</v>
      </c>
      <c r="F82" s="26"/>
      <c r="G82" s="26"/>
      <c r="H82" s="26">
        <v>1</v>
      </c>
      <c r="I82" s="52">
        <f>+PCA!E30</f>
        <v>0.184</v>
      </c>
      <c r="J82" s="52">
        <f t="shared" si="45"/>
        <v>0.184</v>
      </c>
      <c r="K82" s="52">
        <f t="shared" si="49"/>
        <v>0.184</v>
      </c>
      <c r="L82" s="52">
        <f t="shared" si="46"/>
        <v>0.184</v>
      </c>
      <c r="M82" s="52">
        <f>+PCA!F30</f>
        <v>0.184</v>
      </c>
      <c r="N82" s="52">
        <f t="shared" si="47"/>
        <v>0.184</v>
      </c>
      <c r="O82" s="52">
        <v>0.11</v>
      </c>
      <c r="P82" s="27">
        <f t="shared" si="48"/>
        <v>0.11</v>
      </c>
      <c r="T82" s="134">
        <v>1</v>
      </c>
      <c r="U82" s="116" t="s">
        <v>207</v>
      </c>
      <c r="V82" s="117">
        <v>0.11</v>
      </c>
      <c r="W82" s="354">
        <f t="shared" si="41"/>
        <v>0.11</v>
      </c>
      <c r="X82" s="117">
        <v>0.11</v>
      </c>
      <c r="Y82" s="118">
        <f t="shared" si="42"/>
        <v>0.11</v>
      </c>
      <c r="AA82" s="54">
        <f t="shared" si="43"/>
        <v>7.3999999999999996E-2</v>
      </c>
      <c r="AB82" s="54">
        <f t="shared" si="44"/>
        <v>7.3999999999999996E-2</v>
      </c>
    </row>
    <row r="83" spans="2:28" outlineLevel="1" x14ac:dyDescent="0.2">
      <c r="B83" s="25"/>
      <c r="C83" s="26"/>
      <c r="D83" s="26" t="s">
        <v>208</v>
      </c>
      <c r="E83" s="26" t="s">
        <v>209</v>
      </c>
      <c r="F83" s="26"/>
      <c r="G83" s="26"/>
      <c r="H83" s="26">
        <v>1</v>
      </c>
      <c r="I83" s="52">
        <f>+PCA!E31</f>
        <v>0.22</v>
      </c>
      <c r="J83" s="52">
        <f t="shared" si="45"/>
        <v>0.22</v>
      </c>
      <c r="K83" s="52">
        <f t="shared" si="49"/>
        <v>0.22</v>
      </c>
      <c r="L83" s="52">
        <f t="shared" si="46"/>
        <v>0.22</v>
      </c>
      <c r="M83" s="52">
        <f>+PCA!F31</f>
        <v>0.22</v>
      </c>
      <c r="N83" s="52">
        <f t="shared" si="47"/>
        <v>0.22</v>
      </c>
      <c r="O83" s="52">
        <v>0.2</v>
      </c>
      <c r="P83" s="27">
        <f t="shared" si="48"/>
        <v>0.2</v>
      </c>
      <c r="T83" s="134">
        <v>1</v>
      </c>
      <c r="U83" s="116" t="s">
        <v>204</v>
      </c>
      <c r="V83" s="117">
        <v>0.2</v>
      </c>
      <c r="W83" s="354">
        <f t="shared" si="41"/>
        <v>0.2</v>
      </c>
      <c r="X83" s="117">
        <v>0.2</v>
      </c>
      <c r="Y83" s="118">
        <f t="shared" si="42"/>
        <v>0.2</v>
      </c>
      <c r="AA83" s="54">
        <f t="shared" si="43"/>
        <v>1.999999999999999E-2</v>
      </c>
      <c r="AB83" s="54">
        <f t="shared" si="44"/>
        <v>1.999999999999999E-2</v>
      </c>
    </row>
    <row r="84" spans="2:28" outlineLevel="1" x14ac:dyDescent="0.2">
      <c r="B84" s="25"/>
      <c r="C84" s="26"/>
      <c r="D84" s="26" t="s">
        <v>210</v>
      </c>
      <c r="E84" s="26" t="s">
        <v>206</v>
      </c>
      <c r="F84" s="26"/>
      <c r="G84" s="26"/>
      <c r="H84" s="26">
        <v>1</v>
      </c>
      <c r="I84" s="52">
        <f>+PCA!E50</f>
        <v>0.51</v>
      </c>
      <c r="J84" s="52">
        <f t="shared" si="45"/>
        <v>0.51</v>
      </c>
      <c r="K84" s="52">
        <f t="shared" si="49"/>
        <v>0.51</v>
      </c>
      <c r="L84" s="52">
        <f t="shared" si="46"/>
        <v>0.51</v>
      </c>
      <c r="M84" s="52">
        <f>+PCA!F50</f>
        <v>0.51</v>
      </c>
      <c r="N84" s="52">
        <f t="shared" si="47"/>
        <v>0.51</v>
      </c>
      <c r="O84" s="52">
        <v>0.3</v>
      </c>
      <c r="P84" s="27">
        <f t="shared" si="48"/>
        <v>0.3</v>
      </c>
      <c r="T84" s="134">
        <v>1</v>
      </c>
      <c r="U84" s="116" t="s">
        <v>211</v>
      </c>
      <c r="V84" s="117">
        <v>0.28999999999999998</v>
      </c>
      <c r="W84" s="354">
        <f t="shared" si="41"/>
        <v>0.28999999999999998</v>
      </c>
      <c r="X84" s="117">
        <v>0.3</v>
      </c>
      <c r="Y84" s="118">
        <f t="shared" si="42"/>
        <v>0.3</v>
      </c>
      <c r="AA84" s="54">
        <f t="shared" si="43"/>
        <v>0.22000000000000003</v>
      </c>
      <c r="AB84" s="54">
        <f t="shared" si="44"/>
        <v>0.22000000000000003</v>
      </c>
    </row>
    <row r="85" spans="2:28" outlineLevel="1" x14ac:dyDescent="0.2">
      <c r="B85" s="25"/>
      <c r="C85" s="26"/>
      <c r="D85" s="168" t="s">
        <v>212</v>
      </c>
      <c r="E85" s="168" t="s">
        <v>213</v>
      </c>
      <c r="F85" s="168"/>
      <c r="G85" s="168"/>
      <c r="H85" s="168">
        <v>1</v>
      </c>
      <c r="I85" s="175">
        <f>+PCA!E51</f>
        <v>0.76500000000000001</v>
      </c>
      <c r="J85" s="175">
        <f t="shared" si="45"/>
        <v>0.76500000000000001</v>
      </c>
      <c r="K85" s="175">
        <f t="shared" si="49"/>
        <v>0.76500000000000001</v>
      </c>
      <c r="L85" s="175">
        <f t="shared" si="46"/>
        <v>0.76500000000000001</v>
      </c>
      <c r="M85" s="175">
        <f>+PCA!F51</f>
        <v>0.76500000000000001</v>
      </c>
      <c r="N85" s="175">
        <f t="shared" si="47"/>
        <v>0.76500000000000001</v>
      </c>
      <c r="O85" s="175">
        <v>0.8</v>
      </c>
      <c r="P85" s="169">
        <f t="shared" si="48"/>
        <v>0.8</v>
      </c>
      <c r="T85" s="134">
        <v>1</v>
      </c>
      <c r="U85" s="116" t="s">
        <v>214</v>
      </c>
      <c r="V85" s="117">
        <v>0.75</v>
      </c>
      <c r="W85" s="354">
        <f t="shared" si="41"/>
        <v>0.75</v>
      </c>
      <c r="X85" s="117">
        <v>0.8</v>
      </c>
      <c r="Y85" s="118">
        <f t="shared" si="42"/>
        <v>0.8</v>
      </c>
      <c r="AA85" s="54" t="e">
        <f>-W85+#REF!</f>
        <v>#REF!</v>
      </c>
      <c r="AB85" s="54">
        <f t="shared" si="44"/>
        <v>1.5000000000000013E-2</v>
      </c>
    </row>
    <row r="86" spans="2:28" outlineLevel="1" x14ac:dyDescent="0.2">
      <c r="B86" s="25" t="s">
        <v>167</v>
      </c>
      <c r="C86" s="26"/>
      <c r="D86" s="168" t="s">
        <v>215</v>
      </c>
      <c r="E86" s="168" t="s">
        <v>216</v>
      </c>
      <c r="F86" s="168"/>
      <c r="G86" s="168"/>
      <c r="H86" s="168">
        <v>1</v>
      </c>
      <c r="I86" s="175">
        <f>+PCA!E54</f>
        <v>3.2130000000000001</v>
      </c>
      <c r="J86" s="175">
        <f t="shared" si="45"/>
        <v>3.2130000000000001</v>
      </c>
      <c r="K86" s="175">
        <f t="shared" si="49"/>
        <v>3.2130000000000001</v>
      </c>
      <c r="L86" s="175">
        <f t="shared" si="46"/>
        <v>3.2130000000000001</v>
      </c>
      <c r="M86" s="175">
        <f>+PCA!F54</f>
        <v>3.2130000000000001</v>
      </c>
      <c r="N86" s="175">
        <f t="shared" si="47"/>
        <v>3.2130000000000001</v>
      </c>
      <c r="O86" s="175">
        <v>2.6057999999999999</v>
      </c>
      <c r="P86" s="169">
        <f t="shared" si="48"/>
        <v>2.6057999999999999</v>
      </c>
      <c r="T86" s="135">
        <v>1</v>
      </c>
      <c r="U86" s="116" t="s">
        <v>217</v>
      </c>
      <c r="V86" s="117">
        <v>2.6674000000000002</v>
      </c>
      <c r="W86" s="354">
        <f t="shared" si="41"/>
        <v>2.6674000000000002</v>
      </c>
      <c r="X86" s="117">
        <v>2.6057999999999999</v>
      </c>
      <c r="Y86" s="118">
        <f t="shared" si="42"/>
        <v>2.6057999999999999</v>
      </c>
      <c r="AA86" s="54" t="e">
        <f>-W86+#REF!</f>
        <v>#REF!</v>
      </c>
      <c r="AB86" s="54">
        <f t="shared" si="44"/>
        <v>0.54559999999999986</v>
      </c>
    </row>
    <row r="87" spans="2:28" outlineLevel="1" x14ac:dyDescent="0.2">
      <c r="B87" s="25"/>
      <c r="C87" s="26"/>
      <c r="D87" s="26" t="s">
        <v>218</v>
      </c>
      <c r="E87" s="26" t="s">
        <v>219</v>
      </c>
      <c r="F87" s="26"/>
      <c r="G87" s="26"/>
      <c r="H87" s="26">
        <v>1</v>
      </c>
      <c r="I87" s="52"/>
      <c r="J87" s="52">
        <f>$H88*I88</f>
        <v>0.95</v>
      </c>
      <c r="K87" s="52"/>
      <c r="L87" s="52">
        <f>$H88*K88</f>
        <v>0.95</v>
      </c>
      <c r="M87" s="52"/>
      <c r="N87" s="52">
        <f>$H88*M88</f>
        <v>0.95</v>
      </c>
      <c r="O87" s="52"/>
      <c r="P87" s="27">
        <f>$H88*O88</f>
        <v>1.53</v>
      </c>
      <c r="R87" t="s">
        <v>146</v>
      </c>
      <c r="T87" s="134">
        <v>1</v>
      </c>
      <c r="U87" s="116" t="s">
        <v>167</v>
      </c>
      <c r="V87" s="117"/>
      <c r="W87" s="354">
        <f>+V88</f>
        <v>1.1798999999999999</v>
      </c>
      <c r="X87" s="117"/>
      <c r="Y87" s="118">
        <f>+X88</f>
        <v>1.53</v>
      </c>
      <c r="AA87" s="54">
        <f t="shared" si="43"/>
        <v>-0.22989999999999999</v>
      </c>
      <c r="AB87" s="54">
        <f t="shared" si="44"/>
        <v>-0.22989999999999999</v>
      </c>
    </row>
    <row r="88" spans="2:28" outlineLevel="2" x14ac:dyDescent="0.2">
      <c r="B88" s="47"/>
      <c r="C88" s="48"/>
      <c r="D88" s="48" t="s">
        <v>220</v>
      </c>
      <c r="E88" s="48" t="s">
        <v>221</v>
      </c>
      <c r="F88" s="48"/>
      <c r="G88" s="48"/>
      <c r="H88" s="48">
        <v>1</v>
      </c>
      <c r="I88" s="53">
        <f>+PCA!E45</f>
        <v>0.95</v>
      </c>
      <c r="J88" s="53"/>
      <c r="K88" s="53">
        <f t="shared" si="49"/>
        <v>0.95</v>
      </c>
      <c r="L88" s="53"/>
      <c r="M88" s="53">
        <f>+PCA!F45</f>
        <v>0.95</v>
      </c>
      <c r="N88" s="53"/>
      <c r="O88" s="53">
        <v>1.53</v>
      </c>
      <c r="P88" s="49"/>
      <c r="T88" s="134">
        <v>1</v>
      </c>
      <c r="U88" s="119" t="s">
        <v>222</v>
      </c>
      <c r="V88" s="353">
        <v>1.1798999999999999</v>
      </c>
      <c r="W88" s="355"/>
      <c r="X88" s="120">
        <v>1.53</v>
      </c>
      <c r="Y88" s="121"/>
      <c r="AA88" s="54">
        <f t="shared" ref="AA88:AA103" si="50">+J88-W88</f>
        <v>0</v>
      </c>
      <c r="AB88" s="54">
        <f t="shared" ref="AB88:AB103" si="51">+L88-W88</f>
        <v>0</v>
      </c>
    </row>
    <row r="89" spans="2:28" outlineLevel="1" x14ac:dyDescent="0.2">
      <c r="B89" s="25"/>
      <c r="C89" s="26"/>
      <c r="D89" s="26" t="s">
        <v>223</v>
      </c>
      <c r="E89" s="26" t="s">
        <v>224</v>
      </c>
      <c r="F89" s="26"/>
      <c r="G89" s="26"/>
      <c r="H89" s="26">
        <v>1</v>
      </c>
      <c r="I89" s="52">
        <f>+PCA!E33</f>
        <v>0.158</v>
      </c>
      <c r="J89" s="52">
        <f t="shared" ref="J89:J104" si="52">$H89*I89</f>
        <v>0.158</v>
      </c>
      <c r="K89" s="52">
        <f t="shared" si="49"/>
        <v>0.158</v>
      </c>
      <c r="L89" s="52">
        <f t="shared" ref="L89:L104" si="53">$H89*K89</f>
        <v>0.158</v>
      </c>
      <c r="M89" s="52">
        <f>+PCA!F33</f>
        <v>0.158</v>
      </c>
      <c r="N89" s="52">
        <f t="shared" ref="N89:N104" si="54">$H89*M89</f>
        <v>0.158</v>
      </c>
      <c r="O89" s="52">
        <v>0.19</v>
      </c>
      <c r="P89" s="27">
        <f t="shared" ref="P89:P104" si="55">$H89*O89</f>
        <v>0.19</v>
      </c>
      <c r="T89" s="134">
        <v>1</v>
      </c>
      <c r="U89" s="116" t="s">
        <v>225</v>
      </c>
      <c r="V89" s="117">
        <v>0.22</v>
      </c>
      <c r="W89" s="354">
        <f t="shared" ref="W89:W105" si="56">+V89*T87</f>
        <v>0.22</v>
      </c>
      <c r="X89" s="117">
        <v>0.19</v>
      </c>
      <c r="Y89" s="118">
        <f t="shared" ref="Y89:Y105" si="57">+X89*T87</f>
        <v>0.19</v>
      </c>
      <c r="AA89" s="54">
        <f t="shared" si="50"/>
        <v>-6.2E-2</v>
      </c>
      <c r="AB89" s="54">
        <f t="shared" si="51"/>
        <v>-6.2E-2</v>
      </c>
    </row>
    <row r="90" spans="2:28" outlineLevel="1" x14ac:dyDescent="0.2">
      <c r="B90" s="25"/>
      <c r="C90" s="26"/>
      <c r="D90" s="168" t="s">
        <v>226</v>
      </c>
      <c r="E90" s="168" t="s">
        <v>227</v>
      </c>
      <c r="F90" s="168"/>
      <c r="G90" s="168"/>
      <c r="H90" s="168">
        <v>1</v>
      </c>
      <c r="I90" s="175">
        <f>+PCA!E52</f>
        <v>3.3660000000000001</v>
      </c>
      <c r="J90" s="175">
        <f t="shared" si="52"/>
        <v>3.3660000000000001</v>
      </c>
      <c r="K90" s="175">
        <f t="shared" si="49"/>
        <v>3.3660000000000001</v>
      </c>
      <c r="L90" s="175">
        <f t="shared" si="53"/>
        <v>3.3660000000000001</v>
      </c>
      <c r="M90" s="175">
        <f>+PCA!F52</f>
        <v>3.3660000000000001</v>
      </c>
      <c r="N90" s="175">
        <f t="shared" si="54"/>
        <v>3.3660000000000001</v>
      </c>
      <c r="O90" s="175">
        <v>2.1265999999999998</v>
      </c>
      <c r="P90" s="169">
        <f t="shared" si="55"/>
        <v>2.1265999999999998</v>
      </c>
      <c r="T90" s="134">
        <v>1</v>
      </c>
      <c r="U90" s="116" t="s">
        <v>228</v>
      </c>
      <c r="V90" s="117">
        <v>2.11</v>
      </c>
      <c r="W90" s="354">
        <f t="shared" si="56"/>
        <v>2.11</v>
      </c>
      <c r="X90" s="117">
        <v>2.1265999999999998</v>
      </c>
      <c r="Y90" s="118">
        <f t="shared" si="57"/>
        <v>2.1265999999999998</v>
      </c>
      <c r="AA90" s="54" t="e">
        <f>-W90+#REF!</f>
        <v>#REF!</v>
      </c>
      <c r="AB90" s="54">
        <f t="shared" si="51"/>
        <v>1.2560000000000002</v>
      </c>
    </row>
    <row r="91" spans="2:28" outlineLevel="1" x14ac:dyDescent="0.2">
      <c r="B91" s="25"/>
      <c r="C91" s="26"/>
      <c r="D91" s="168" t="s">
        <v>229</v>
      </c>
      <c r="E91" s="168" t="s">
        <v>230</v>
      </c>
      <c r="F91" s="168"/>
      <c r="G91" s="168"/>
      <c r="H91" s="168">
        <v>1</v>
      </c>
      <c r="I91" s="175">
        <f>+PCA!E53</f>
        <v>10.394</v>
      </c>
      <c r="J91" s="175">
        <f t="shared" si="52"/>
        <v>10.394</v>
      </c>
      <c r="K91" s="175">
        <f t="shared" ref="K91:K105" si="58">+M91</f>
        <v>10.394</v>
      </c>
      <c r="L91" s="175">
        <f t="shared" si="53"/>
        <v>10.394</v>
      </c>
      <c r="M91" s="175">
        <f>+PCA!F53</f>
        <v>10.394</v>
      </c>
      <c r="N91" s="175">
        <f t="shared" si="54"/>
        <v>10.394</v>
      </c>
      <c r="O91" s="175">
        <v>9.2100000000000009</v>
      </c>
      <c r="P91" s="169">
        <f t="shared" si="55"/>
        <v>9.2100000000000009</v>
      </c>
      <c r="T91" s="134">
        <v>1</v>
      </c>
      <c r="U91" s="116" t="s">
        <v>231</v>
      </c>
      <c r="V91" s="117">
        <v>8.1</v>
      </c>
      <c r="W91" s="354">
        <f t="shared" si="56"/>
        <v>8.1</v>
      </c>
      <c r="X91" s="117">
        <v>9.2100000000000009</v>
      </c>
      <c r="Y91" s="118">
        <f t="shared" si="57"/>
        <v>9.2100000000000009</v>
      </c>
      <c r="AA91" s="54" t="e">
        <f>-W91+#REF!</f>
        <v>#REF!</v>
      </c>
      <c r="AB91" s="54">
        <f t="shared" si="51"/>
        <v>2.2940000000000005</v>
      </c>
    </row>
    <row r="92" spans="2:28" outlineLevel="1" x14ac:dyDescent="0.2">
      <c r="B92" s="25"/>
      <c r="C92" s="26"/>
      <c r="D92" s="26" t="s">
        <v>232</v>
      </c>
      <c r="E92" s="26" t="s">
        <v>233</v>
      </c>
      <c r="F92" s="26"/>
      <c r="G92" s="26"/>
      <c r="H92" s="26">
        <v>1</v>
      </c>
      <c r="I92" s="52">
        <f>+PCA!E35</f>
        <v>2.1999999999999999E-2</v>
      </c>
      <c r="J92" s="52">
        <f t="shared" si="52"/>
        <v>2.1999999999999999E-2</v>
      </c>
      <c r="K92" s="52">
        <f t="shared" si="58"/>
        <v>2.1999999999999999E-2</v>
      </c>
      <c r="L92" s="52">
        <f t="shared" si="53"/>
        <v>2.1999999999999999E-2</v>
      </c>
      <c r="M92" s="52">
        <f>+PCA!F35</f>
        <v>2.1999999999999999E-2</v>
      </c>
      <c r="N92" s="52">
        <f t="shared" si="54"/>
        <v>2.1999999999999999E-2</v>
      </c>
      <c r="O92" s="52">
        <v>2.1299999999999999E-2</v>
      </c>
      <c r="P92" s="27">
        <f t="shared" si="55"/>
        <v>2.1299999999999999E-2</v>
      </c>
      <c r="T92" s="134">
        <v>2</v>
      </c>
      <c r="U92" s="116" t="s">
        <v>234</v>
      </c>
      <c r="V92" s="117">
        <v>2.5000000000000001E-2</v>
      </c>
      <c r="W92" s="354">
        <f t="shared" si="56"/>
        <v>2.5000000000000001E-2</v>
      </c>
      <c r="X92" s="117">
        <v>2.1299999999999999E-2</v>
      </c>
      <c r="Y92" s="118">
        <f t="shared" si="57"/>
        <v>2.1299999999999999E-2</v>
      </c>
      <c r="AA92" s="54">
        <f t="shared" si="50"/>
        <v>-3.0000000000000027E-3</v>
      </c>
      <c r="AB92" s="54">
        <f t="shared" si="51"/>
        <v>-3.0000000000000027E-3</v>
      </c>
    </row>
    <row r="93" spans="2:28" outlineLevel="1" x14ac:dyDescent="0.2">
      <c r="B93" s="25"/>
      <c r="C93" s="26"/>
      <c r="D93" s="26" t="s">
        <v>235</v>
      </c>
      <c r="E93" s="26" t="s">
        <v>236</v>
      </c>
      <c r="F93" s="26"/>
      <c r="G93" s="26"/>
      <c r="H93" s="26">
        <v>1</v>
      </c>
      <c r="I93" s="52">
        <f>+PCA!E36</f>
        <v>0.16500000000000001</v>
      </c>
      <c r="J93" s="52">
        <f t="shared" si="52"/>
        <v>0.16500000000000001</v>
      </c>
      <c r="K93" s="52">
        <f t="shared" si="58"/>
        <v>0.16500000000000001</v>
      </c>
      <c r="L93" s="52">
        <f t="shared" si="53"/>
        <v>0.16500000000000001</v>
      </c>
      <c r="M93" s="52">
        <f>+PCA!F36</f>
        <v>0.16500000000000001</v>
      </c>
      <c r="N93" s="52">
        <f t="shared" si="54"/>
        <v>0.16500000000000001</v>
      </c>
      <c r="O93" s="52">
        <v>0.18</v>
      </c>
      <c r="P93" s="27">
        <f t="shared" si="55"/>
        <v>0.18</v>
      </c>
      <c r="T93" s="134">
        <v>1</v>
      </c>
      <c r="U93" s="116" t="s">
        <v>228</v>
      </c>
      <c r="V93" s="117">
        <v>0.25</v>
      </c>
      <c r="W93" s="354">
        <f t="shared" si="56"/>
        <v>0.25</v>
      </c>
      <c r="X93" s="117">
        <v>0.18</v>
      </c>
      <c r="Y93" s="118">
        <f t="shared" si="57"/>
        <v>0.18</v>
      </c>
      <c r="AA93" s="54">
        <f t="shared" si="50"/>
        <v>-8.4999999999999992E-2</v>
      </c>
      <c r="AB93" s="54">
        <f t="shared" si="51"/>
        <v>-8.4999999999999992E-2</v>
      </c>
    </row>
    <row r="94" spans="2:28" outlineLevel="1" x14ac:dyDescent="0.2">
      <c r="B94" s="25"/>
      <c r="C94" s="26"/>
      <c r="D94" s="26" t="s">
        <v>237</v>
      </c>
      <c r="E94" s="26" t="s">
        <v>238</v>
      </c>
      <c r="F94" s="26"/>
      <c r="G94" s="26"/>
      <c r="H94" s="26">
        <v>2</v>
      </c>
      <c r="I94" s="52">
        <f>+PCA!E37</f>
        <v>0.02</v>
      </c>
      <c r="J94" s="52">
        <f t="shared" si="52"/>
        <v>0.04</v>
      </c>
      <c r="K94" s="52">
        <f t="shared" si="58"/>
        <v>0.02</v>
      </c>
      <c r="L94" s="52">
        <f t="shared" si="53"/>
        <v>0.04</v>
      </c>
      <c r="M94" s="52">
        <f>+PCA!F37</f>
        <v>0.02</v>
      </c>
      <c r="N94" s="52">
        <f t="shared" si="54"/>
        <v>0.04</v>
      </c>
      <c r="O94" s="52">
        <v>2.5999999999999999E-2</v>
      </c>
      <c r="P94" s="27">
        <f t="shared" si="55"/>
        <v>5.1999999999999998E-2</v>
      </c>
      <c r="T94" s="134">
        <v>1</v>
      </c>
      <c r="U94" s="116" t="s">
        <v>225</v>
      </c>
      <c r="V94" s="117">
        <v>3.7999999999999999E-2</v>
      </c>
      <c r="W94" s="354">
        <f t="shared" si="56"/>
        <v>7.5999999999999998E-2</v>
      </c>
      <c r="X94" s="117">
        <v>2.5999999999999999E-2</v>
      </c>
      <c r="Y94" s="118">
        <f t="shared" si="57"/>
        <v>5.1999999999999998E-2</v>
      </c>
      <c r="AA94" s="54">
        <f t="shared" si="50"/>
        <v>-3.5999999999999997E-2</v>
      </c>
      <c r="AB94" s="54">
        <f t="shared" si="51"/>
        <v>-3.5999999999999997E-2</v>
      </c>
    </row>
    <row r="95" spans="2:28" outlineLevel="1" x14ac:dyDescent="0.2">
      <c r="B95" s="25"/>
      <c r="C95" s="26"/>
      <c r="D95" s="26" t="s">
        <v>239</v>
      </c>
      <c r="E95" s="26" t="s">
        <v>240</v>
      </c>
      <c r="F95" s="26"/>
      <c r="G95" s="26"/>
      <c r="H95" s="26">
        <v>1</v>
      </c>
      <c r="I95" s="52">
        <f>+PCA!E38</f>
        <v>0.85</v>
      </c>
      <c r="J95" s="52">
        <f t="shared" si="52"/>
        <v>0.85</v>
      </c>
      <c r="K95" s="52">
        <f t="shared" si="58"/>
        <v>0.85</v>
      </c>
      <c r="L95" s="52">
        <f t="shared" si="53"/>
        <v>0.85</v>
      </c>
      <c r="M95" s="52">
        <f>+PCA!F38</f>
        <v>0.85</v>
      </c>
      <c r="N95" s="52">
        <f t="shared" si="54"/>
        <v>0.85</v>
      </c>
      <c r="O95" s="52">
        <v>0.85</v>
      </c>
      <c r="P95" s="27">
        <f t="shared" si="55"/>
        <v>0.85</v>
      </c>
      <c r="T95" s="134">
        <v>2</v>
      </c>
      <c r="U95" s="116" t="s">
        <v>241</v>
      </c>
      <c r="V95" s="117">
        <v>1.06</v>
      </c>
      <c r="W95" s="354">
        <f t="shared" si="56"/>
        <v>1.06</v>
      </c>
      <c r="X95" s="117">
        <v>0.85</v>
      </c>
      <c r="Y95" s="118">
        <f t="shared" si="57"/>
        <v>0.85</v>
      </c>
      <c r="AA95" s="54">
        <f t="shared" si="50"/>
        <v>-0.21000000000000008</v>
      </c>
      <c r="AB95" s="54">
        <f t="shared" si="51"/>
        <v>-0.21000000000000008</v>
      </c>
    </row>
    <row r="96" spans="2:28" outlineLevel="1" x14ac:dyDescent="0.2">
      <c r="B96" s="25"/>
      <c r="C96" s="26"/>
      <c r="D96" s="26" t="s">
        <v>242</v>
      </c>
      <c r="E96" s="26" t="s">
        <v>243</v>
      </c>
      <c r="F96" s="26"/>
      <c r="G96" s="26"/>
      <c r="H96" s="26">
        <v>1</v>
      </c>
      <c r="I96" s="52">
        <f>+PCA!E32</f>
        <v>0.17299999999999999</v>
      </c>
      <c r="J96" s="52">
        <f t="shared" si="52"/>
        <v>0.17299999999999999</v>
      </c>
      <c r="K96" s="52">
        <f t="shared" si="58"/>
        <v>0.17299999999999999</v>
      </c>
      <c r="L96" s="52">
        <f t="shared" si="53"/>
        <v>0.17299999999999999</v>
      </c>
      <c r="M96" s="52">
        <f>+PCA!F32</f>
        <v>0.17299999999999999</v>
      </c>
      <c r="N96" s="52">
        <f t="shared" si="54"/>
        <v>0.17299999999999999</v>
      </c>
      <c r="O96" s="52">
        <v>0.12</v>
      </c>
      <c r="P96" s="27">
        <f t="shared" si="55"/>
        <v>0.12</v>
      </c>
      <c r="T96" s="134">
        <v>1</v>
      </c>
      <c r="U96" s="116" t="s">
        <v>211</v>
      </c>
      <c r="V96" s="117">
        <v>0.12</v>
      </c>
      <c r="W96" s="354">
        <f t="shared" si="56"/>
        <v>0.12</v>
      </c>
      <c r="X96" s="117">
        <v>0.12</v>
      </c>
      <c r="Y96" s="118">
        <f t="shared" si="57"/>
        <v>0.12</v>
      </c>
      <c r="AA96" s="54">
        <f t="shared" si="50"/>
        <v>5.2999999999999992E-2</v>
      </c>
      <c r="AB96" s="54">
        <f t="shared" si="51"/>
        <v>5.2999999999999992E-2</v>
      </c>
    </row>
    <row r="97" spans="2:28" outlineLevel="1" x14ac:dyDescent="0.2">
      <c r="B97" s="25"/>
      <c r="C97" s="26"/>
      <c r="D97" s="168" t="s">
        <v>244</v>
      </c>
      <c r="E97" s="168" t="s">
        <v>245</v>
      </c>
      <c r="F97" s="168"/>
      <c r="G97" s="168"/>
      <c r="H97" s="168">
        <v>2</v>
      </c>
      <c r="I97" s="175">
        <f>+PCA!E49</f>
        <v>1.1200000000000001</v>
      </c>
      <c r="J97" s="175">
        <f t="shared" si="52"/>
        <v>2.2400000000000002</v>
      </c>
      <c r="K97" s="175">
        <f t="shared" si="58"/>
        <v>1.1200000000000001</v>
      </c>
      <c r="L97" s="175">
        <f t="shared" si="53"/>
        <v>2.2400000000000002</v>
      </c>
      <c r="M97" s="175">
        <f>+PCA!F49</f>
        <v>1.1200000000000001</v>
      </c>
      <c r="N97" s="175">
        <f t="shared" si="54"/>
        <v>2.2400000000000002</v>
      </c>
      <c r="O97" s="175">
        <v>1</v>
      </c>
      <c r="P97" s="169">
        <f t="shared" si="55"/>
        <v>2</v>
      </c>
      <c r="T97" s="134">
        <v>1</v>
      </c>
      <c r="U97" s="116" t="s">
        <v>246</v>
      </c>
      <c r="V97" s="117">
        <v>0.95</v>
      </c>
      <c r="W97" s="354">
        <f t="shared" si="56"/>
        <v>1.9</v>
      </c>
      <c r="X97" s="117">
        <v>1</v>
      </c>
      <c r="Y97" s="118">
        <f t="shared" si="57"/>
        <v>2</v>
      </c>
      <c r="AA97" s="54" t="e">
        <f>-W97+#REF!</f>
        <v>#REF!</v>
      </c>
      <c r="AB97" s="54">
        <f t="shared" si="51"/>
        <v>0.3400000000000003</v>
      </c>
    </row>
    <row r="98" spans="2:28" outlineLevel="1" x14ac:dyDescent="0.2">
      <c r="B98" s="25"/>
      <c r="C98" s="26"/>
      <c r="D98" s="26" t="s">
        <v>247</v>
      </c>
      <c r="E98" s="26" t="s">
        <v>248</v>
      </c>
      <c r="F98" s="26"/>
      <c r="G98" s="26"/>
      <c r="H98" s="26">
        <v>1</v>
      </c>
      <c r="I98" s="52">
        <f>+PCA!E34</f>
        <v>1.97</v>
      </c>
      <c r="J98" s="52">
        <f t="shared" si="52"/>
        <v>1.97</v>
      </c>
      <c r="K98" s="52">
        <f t="shared" si="58"/>
        <v>1.97</v>
      </c>
      <c r="L98" s="52">
        <f t="shared" si="53"/>
        <v>1.97</v>
      </c>
      <c r="M98" s="52">
        <f>+PCA!F34</f>
        <v>1.97</v>
      </c>
      <c r="N98" s="52">
        <f t="shared" si="54"/>
        <v>1.97</v>
      </c>
      <c r="O98" s="52">
        <v>1.97</v>
      </c>
      <c r="P98" s="27">
        <f t="shared" si="55"/>
        <v>1.97</v>
      </c>
      <c r="T98" s="134">
        <v>2</v>
      </c>
      <c r="U98" s="116" t="s">
        <v>249</v>
      </c>
      <c r="V98" s="117">
        <v>1.97</v>
      </c>
      <c r="W98" s="354">
        <f t="shared" si="56"/>
        <v>1.97</v>
      </c>
      <c r="X98" s="117">
        <v>1.97</v>
      </c>
      <c r="Y98" s="118">
        <f t="shared" si="57"/>
        <v>1.97</v>
      </c>
      <c r="AA98" s="54">
        <f t="shared" si="50"/>
        <v>0</v>
      </c>
      <c r="AB98" s="54">
        <f t="shared" si="51"/>
        <v>0</v>
      </c>
    </row>
    <row r="99" spans="2:28" outlineLevel="1" x14ac:dyDescent="0.2">
      <c r="B99" s="25"/>
      <c r="C99" s="26"/>
      <c r="D99" s="26" t="s">
        <v>250</v>
      </c>
      <c r="E99" s="26" t="s">
        <v>251</v>
      </c>
      <c r="F99" s="26"/>
      <c r="G99" s="26"/>
      <c r="H99" s="26">
        <v>1</v>
      </c>
      <c r="I99" s="52">
        <f>+PCA!E39</f>
        <v>7.2999999999999995E-2</v>
      </c>
      <c r="J99" s="52">
        <f t="shared" si="52"/>
        <v>7.2999999999999995E-2</v>
      </c>
      <c r="K99" s="52">
        <f t="shared" si="58"/>
        <v>7.2999999999999995E-2</v>
      </c>
      <c r="L99" s="52">
        <f t="shared" si="53"/>
        <v>7.2999999999999995E-2</v>
      </c>
      <c r="M99" s="52">
        <f>+PCA!F39</f>
        <v>7.2999999999999995E-2</v>
      </c>
      <c r="N99" s="52">
        <f t="shared" si="54"/>
        <v>7.2999999999999995E-2</v>
      </c>
      <c r="O99" s="52">
        <v>9.5000000000000001E-2</v>
      </c>
      <c r="P99" s="27">
        <f t="shared" si="55"/>
        <v>9.5000000000000001E-2</v>
      </c>
      <c r="T99" s="134">
        <v>2</v>
      </c>
      <c r="U99" s="116" t="s">
        <v>252</v>
      </c>
      <c r="V99" s="117">
        <v>0.1</v>
      </c>
      <c r="W99" s="354">
        <f t="shared" si="56"/>
        <v>0.1</v>
      </c>
      <c r="X99" s="117">
        <v>9.5000000000000001E-2</v>
      </c>
      <c r="Y99" s="118">
        <f t="shared" si="57"/>
        <v>9.5000000000000001E-2</v>
      </c>
      <c r="AA99" s="54">
        <f t="shared" si="50"/>
        <v>-2.700000000000001E-2</v>
      </c>
      <c r="AB99" s="54">
        <f t="shared" si="51"/>
        <v>-2.700000000000001E-2</v>
      </c>
    </row>
    <row r="100" spans="2:28" outlineLevel="1" x14ac:dyDescent="0.2">
      <c r="B100" s="25"/>
      <c r="C100" s="26"/>
      <c r="D100" s="26" t="s">
        <v>253</v>
      </c>
      <c r="E100" s="26" t="s">
        <v>254</v>
      </c>
      <c r="F100" s="26"/>
      <c r="G100" s="26"/>
      <c r="H100" s="26">
        <v>2</v>
      </c>
      <c r="I100" s="52">
        <f>+PCA!E40</f>
        <v>7.2999999999999995E-2</v>
      </c>
      <c r="J100" s="52">
        <f t="shared" si="52"/>
        <v>0.14599999999999999</v>
      </c>
      <c r="K100" s="52">
        <f t="shared" si="58"/>
        <v>7.2999999999999995E-2</v>
      </c>
      <c r="L100" s="52">
        <f t="shared" si="53"/>
        <v>0.14599999999999999</v>
      </c>
      <c r="M100" s="52">
        <f>+PCA!F40</f>
        <v>7.2999999999999995E-2</v>
      </c>
      <c r="N100" s="52">
        <f t="shared" si="54"/>
        <v>0.14599999999999999</v>
      </c>
      <c r="O100" s="52">
        <v>7.4999999999999997E-2</v>
      </c>
      <c r="P100" s="27">
        <f t="shared" si="55"/>
        <v>0.15</v>
      </c>
      <c r="T100" s="134">
        <v>6</v>
      </c>
      <c r="U100" s="116" t="s">
        <v>255</v>
      </c>
      <c r="V100" s="117">
        <v>0.09</v>
      </c>
      <c r="W100" s="354">
        <f t="shared" si="56"/>
        <v>0.18</v>
      </c>
      <c r="X100" s="117">
        <v>7.4999999999999997E-2</v>
      </c>
      <c r="Y100" s="118">
        <f t="shared" si="57"/>
        <v>0.15</v>
      </c>
      <c r="AA100" s="54">
        <f t="shared" si="50"/>
        <v>-3.4000000000000002E-2</v>
      </c>
      <c r="AB100" s="54">
        <f t="shared" si="51"/>
        <v>-3.4000000000000002E-2</v>
      </c>
    </row>
    <row r="101" spans="2:28" outlineLevel="1" x14ac:dyDescent="0.2">
      <c r="B101" s="25"/>
      <c r="C101" s="26"/>
      <c r="D101" s="26" t="s">
        <v>256</v>
      </c>
      <c r="E101" s="26" t="s">
        <v>257</v>
      </c>
      <c r="F101" s="26"/>
      <c r="G101" s="26"/>
      <c r="H101" s="26">
        <v>2</v>
      </c>
      <c r="I101" s="52">
        <f>+PCA!E41</f>
        <v>7.2999999999999995E-2</v>
      </c>
      <c r="J101" s="52">
        <f t="shared" si="52"/>
        <v>0.14599999999999999</v>
      </c>
      <c r="K101" s="52">
        <f t="shared" si="58"/>
        <v>7.2999999999999995E-2</v>
      </c>
      <c r="L101" s="52">
        <f t="shared" si="53"/>
        <v>0.14599999999999999</v>
      </c>
      <c r="M101" s="52">
        <f>+PCA!F41</f>
        <v>7.2999999999999995E-2</v>
      </c>
      <c r="N101" s="52">
        <f t="shared" si="54"/>
        <v>0.14599999999999999</v>
      </c>
      <c r="O101" s="52">
        <v>9.5000000000000001E-2</v>
      </c>
      <c r="P101" s="27">
        <f t="shared" si="55"/>
        <v>0.19</v>
      </c>
      <c r="T101" s="134">
        <v>2</v>
      </c>
      <c r="U101" s="116" t="s">
        <v>252</v>
      </c>
      <c r="V101" s="117">
        <v>0.1</v>
      </c>
      <c r="W101" s="354">
        <f t="shared" si="56"/>
        <v>0.2</v>
      </c>
      <c r="X101" s="117">
        <v>9.5000000000000001E-2</v>
      </c>
      <c r="Y101" s="118">
        <f t="shared" si="57"/>
        <v>0.19</v>
      </c>
      <c r="AA101" s="54">
        <f t="shared" si="50"/>
        <v>-5.400000000000002E-2</v>
      </c>
      <c r="AB101" s="54">
        <f t="shared" si="51"/>
        <v>-5.400000000000002E-2</v>
      </c>
    </row>
    <row r="102" spans="2:28" outlineLevel="1" x14ac:dyDescent="0.2">
      <c r="B102" s="25"/>
      <c r="C102" s="26"/>
      <c r="D102" s="26" t="s">
        <v>258</v>
      </c>
      <c r="E102" s="26" t="s">
        <v>259</v>
      </c>
      <c r="F102" s="26"/>
      <c r="G102" s="26"/>
      <c r="H102" s="26">
        <v>6</v>
      </c>
      <c r="I102" s="52">
        <f>+PCA!E42</f>
        <v>7.2999999999999995E-2</v>
      </c>
      <c r="J102" s="52">
        <f t="shared" si="52"/>
        <v>0.43799999999999994</v>
      </c>
      <c r="K102" s="52">
        <f t="shared" si="58"/>
        <v>7.2999999999999995E-2</v>
      </c>
      <c r="L102" s="52">
        <f t="shared" si="53"/>
        <v>0.43799999999999994</v>
      </c>
      <c r="M102" s="52">
        <f>+PCA!F42</f>
        <v>7.2999999999999995E-2</v>
      </c>
      <c r="N102" s="52">
        <f t="shared" si="54"/>
        <v>0.43799999999999994</v>
      </c>
      <c r="O102" s="52">
        <v>7.4999999999999997E-2</v>
      </c>
      <c r="P102" s="27">
        <f t="shared" si="55"/>
        <v>0.44999999999999996</v>
      </c>
      <c r="T102" s="134">
        <v>6</v>
      </c>
      <c r="U102" s="116" t="s">
        <v>252</v>
      </c>
      <c r="V102" s="117">
        <v>0.09</v>
      </c>
      <c r="W102" s="354">
        <f t="shared" si="56"/>
        <v>0.54</v>
      </c>
      <c r="X102" s="117">
        <v>7.4999999999999997E-2</v>
      </c>
      <c r="Y102" s="118">
        <f t="shared" si="57"/>
        <v>0.44999999999999996</v>
      </c>
      <c r="AA102" s="54">
        <f t="shared" si="50"/>
        <v>-0.10200000000000009</v>
      </c>
      <c r="AB102" s="54">
        <f t="shared" si="51"/>
        <v>-0.10200000000000009</v>
      </c>
    </row>
    <row r="103" spans="2:28" outlineLevel="1" x14ac:dyDescent="0.2">
      <c r="B103" s="25"/>
      <c r="C103" s="26"/>
      <c r="D103" s="26" t="s">
        <v>260</v>
      </c>
      <c r="E103" s="26" t="s">
        <v>261</v>
      </c>
      <c r="F103" s="26"/>
      <c r="G103" s="26"/>
      <c r="H103" s="26">
        <v>2</v>
      </c>
      <c r="I103" s="52">
        <f>+PCA!E43</f>
        <v>7.2999999999999995E-2</v>
      </c>
      <c r="J103" s="52">
        <f t="shared" si="52"/>
        <v>0.14599999999999999</v>
      </c>
      <c r="K103" s="52">
        <f t="shared" si="58"/>
        <v>7.2999999999999995E-2</v>
      </c>
      <c r="L103" s="52">
        <f t="shared" si="53"/>
        <v>0.14599999999999999</v>
      </c>
      <c r="M103" s="52">
        <f>+PCA!F43</f>
        <v>7.2999999999999995E-2</v>
      </c>
      <c r="N103" s="52">
        <f t="shared" si="54"/>
        <v>0.14599999999999999</v>
      </c>
      <c r="O103" s="52">
        <v>9.5000000000000001E-2</v>
      </c>
      <c r="P103" s="27">
        <f t="shared" si="55"/>
        <v>0.19</v>
      </c>
      <c r="T103" s="134">
        <v>1</v>
      </c>
      <c r="U103" s="116" t="s">
        <v>252</v>
      </c>
      <c r="V103" s="117">
        <v>0.1</v>
      </c>
      <c r="W103" s="354">
        <f t="shared" si="56"/>
        <v>0.2</v>
      </c>
      <c r="X103" s="117">
        <v>9.5000000000000001E-2</v>
      </c>
      <c r="Y103" s="118">
        <f t="shared" si="57"/>
        <v>0.19</v>
      </c>
      <c r="AA103" s="54">
        <f t="shared" si="50"/>
        <v>-5.400000000000002E-2</v>
      </c>
      <c r="AB103" s="54">
        <f t="shared" si="51"/>
        <v>-5.400000000000002E-2</v>
      </c>
    </row>
    <row r="104" spans="2:28" outlineLevel="1" x14ac:dyDescent="0.2">
      <c r="B104" s="25"/>
      <c r="C104" s="26"/>
      <c r="D104" s="26" t="s">
        <v>262</v>
      </c>
      <c r="E104" s="26" t="s">
        <v>263</v>
      </c>
      <c r="F104" s="26"/>
      <c r="G104" s="26"/>
      <c r="H104" s="26">
        <v>6</v>
      </c>
      <c r="I104" s="52">
        <f>+PCA!E44</f>
        <v>4.8000000000000001E-2</v>
      </c>
      <c r="J104" s="52">
        <f t="shared" si="52"/>
        <v>0.28800000000000003</v>
      </c>
      <c r="K104" s="52">
        <f t="shared" si="58"/>
        <v>4.8000000000000001E-2</v>
      </c>
      <c r="L104" s="52">
        <f t="shared" si="53"/>
        <v>0.28800000000000003</v>
      </c>
      <c r="M104" s="52">
        <f>+PCA!F44</f>
        <v>4.8000000000000001E-2</v>
      </c>
      <c r="N104" s="52">
        <f t="shared" si="54"/>
        <v>0.28800000000000003</v>
      </c>
      <c r="O104" s="52">
        <v>5.3999999999999999E-2</v>
      </c>
      <c r="P104" s="27">
        <f t="shared" si="55"/>
        <v>0.32400000000000001</v>
      </c>
      <c r="T104" s="136">
        <v>1</v>
      </c>
      <c r="U104" s="116" t="s">
        <v>151</v>
      </c>
      <c r="V104" s="117">
        <v>5.5E-2</v>
      </c>
      <c r="W104" s="354">
        <f t="shared" si="56"/>
        <v>0.33</v>
      </c>
      <c r="X104" s="117">
        <v>5.3999999999999999E-2</v>
      </c>
      <c r="Y104" s="118">
        <f t="shared" si="57"/>
        <v>0.32400000000000001</v>
      </c>
      <c r="AA104" s="54">
        <f t="shared" ref="AA104:AA116" si="59">+J104-W104</f>
        <v>-4.1999999999999982E-2</v>
      </c>
      <c r="AB104" s="54">
        <f t="shared" ref="AB104:AB116" si="60">+L104-W104</f>
        <v>-4.1999999999999982E-2</v>
      </c>
    </row>
    <row r="105" spans="2:28" ht="14.25" outlineLevel="1" x14ac:dyDescent="0.2">
      <c r="B105" s="25"/>
      <c r="C105" s="26"/>
      <c r="D105" s="26" t="s">
        <v>264</v>
      </c>
      <c r="E105" s="26" t="s">
        <v>265</v>
      </c>
      <c r="F105" s="26"/>
      <c r="G105" s="26"/>
      <c r="H105" s="26">
        <v>1</v>
      </c>
      <c r="I105" s="52">
        <f>+PCA!E46</f>
        <v>3.6680000000000001</v>
      </c>
      <c r="J105" s="52">
        <f>$H105*I105</f>
        <v>3.6680000000000001</v>
      </c>
      <c r="K105" s="52">
        <f t="shared" si="58"/>
        <v>3.6680000000000001</v>
      </c>
      <c r="L105" s="52">
        <f>$H105*K105</f>
        <v>3.6680000000000001</v>
      </c>
      <c r="M105" s="52">
        <f>+PCA!F46</f>
        <v>3.6680000000000001</v>
      </c>
      <c r="N105" s="52">
        <f>$H105*M105</f>
        <v>3.6680000000000001</v>
      </c>
      <c r="O105" s="166">
        <v>3.4449999999999998</v>
      </c>
      <c r="P105" s="27">
        <f>$H105*O105</f>
        <v>3.4449999999999998</v>
      </c>
      <c r="T105" s="132">
        <v>1</v>
      </c>
      <c r="U105" s="116" t="s">
        <v>266</v>
      </c>
      <c r="V105" s="117">
        <v>3.8610000000000002</v>
      </c>
      <c r="W105" s="354">
        <f t="shared" si="56"/>
        <v>3.8610000000000002</v>
      </c>
      <c r="X105" s="122">
        <v>3.4449999999999998</v>
      </c>
      <c r="Y105" s="118">
        <f t="shared" si="57"/>
        <v>3.4449999999999998</v>
      </c>
      <c r="AA105" s="54">
        <f t="shared" si="59"/>
        <v>-0.19300000000000006</v>
      </c>
      <c r="AB105" s="54">
        <f t="shared" si="60"/>
        <v>-0.19300000000000006</v>
      </c>
    </row>
    <row r="106" spans="2:28" ht="15" outlineLevel="1" x14ac:dyDescent="0.25">
      <c r="B106" s="25"/>
      <c r="C106" s="26"/>
      <c r="D106" s="26" t="s">
        <v>267</v>
      </c>
      <c r="E106" s="26" t="s">
        <v>145</v>
      </c>
      <c r="F106" s="26"/>
      <c r="G106" s="26"/>
      <c r="H106" s="26">
        <v>1</v>
      </c>
      <c r="I106" s="52">
        <f>+PCA!J91</f>
        <v>5.3485006399999975</v>
      </c>
      <c r="J106" s="52">
        <f>$H106*I106</f>
        <v>5.3485006399999975</v>
      </c>
      <c r="K106" s="52">
        <f>+M106</f>
        <v>4.8331845000000015</v>
      </c>
      <c r="L106" s="52">
        <f>$H106*K106</f>
        <v>4.8331845000000015</v>
      </c>
      <c r="M106" s="52">
        <f>+PCA!N91</f>
        <v>4.8331845000000015</v>
      </c>
      <c r="N106" s="52">
        <f>$H106*M106</f>
        <v>4.8331845000000015</v>
      </c>
      <c r="O106" s="52">
        <v>3.01</v>
      </c>
      <c r="P106" s="183">
        <v>3.0129999999999999</v>
      </c>
      <c r="R106" t="s">
        <v>146</v>
      </c>
      <c r="T106" s="132">
        <v>1</v>
      </c>
      <c r="U106" s="123" t="s">
        <v>268</v>
      </c>
      <c r="V106" s="124"/>
      <c r="W106" s="356">
        <v>2.6175999999999999</v>
      </c>
      <c r="X106" s="124"/>
      <c r="Y106" s="125">
        <v>3.0125999999999999</v>
      </c>
      <c r="AA106" s="54"/>
      <c r="AB106" s="54"/>
    </row>
    <row r="107" spans="2:28" ht="15.75" thickBot="1" x14ac:dyDescent="0.25">
      <c r="B107" s="29" t="s">
        <v>269</v>
      </c>
      <c r="C107" s="30"/>
      <c r="D107" s="30"/>
      <c r="E107" s="30" t="s">
        <v>270</v>
      </c>
      <c r="F107" s="30"/>
      <c r="G107" s="30"/>
      <c r="H107" s="30">
        <v>1</v>
      </c>
      <c r="I107" s="64">
        <f>+'Top Level'!E41</f>
        <v>6.7000000000000004E-2</v>
      </c>
      <c r="J107" s="368">
        <f>$H107*I107</f>
        <v>6.7000000000000004E-2</v>
      </c>
      <c r="K107" s="64">
        <v>6.7000000000000004E-2</v>
      </c>
      <c r="L107" s="368">
        <f>$H107*K107</f>
        <v>6.7000000000000004E-2</v>
      </c>
      <c r="M107" s="64">
        <f>+'Top Level'!F41</f>
        <v>1.4E-2</v>
      </c>
      <c r="N107" s="368">
        <f>$H107*M107</f>
        <v>1.4E-2</v>
      </c>
      <c r="O107" s="64">
        <v>6.7000000000000004E-2</v>
      </c>
      <c r="P107" s="31">
        <f>$H107*O107</f>
        <v>6.7000000000000004E-2</v>
      </c>
      <c r="T107" s="156">
        <v>1</v>
      </c>
      <c r="U107" s="157" t="s">
        <v>271</v>
      </c>
      <c r="V107" s="158">
        <v>6.7000000000000004E-2</v>
      </c>
      <c r="W107" s="159">
        <f>+V107*T107</f>
        <v>6.7000000000000004E-2</v>
      </c>
      <c r="X107" s="158">
        <v>6.7000000000000004E-2</v>
      </c>
      <c r="Y107" s="159">
        <f>+X107*T107</f>
        <v>6.7000000000000004E-2</v>
      </c>
      <c r="AA107" s="54">
        <f t="shared" si="59"/>
        <v>0</v>
      </c>
      <c r="AB107" s="54">
        <f t="shared" si="60"/>
        <v>0</v>
      </c>
    </row>
    <row r="108" spans="2:28" ht="15" thickBot="1" x14ac:dyDescent="0.25">
      <c r="I108" s="56"/>
      <c r="J108" s="54"/>
      <c r="K108" s="56"/>
      <c r="L108" s="54"/>
      <c r="M108" s="54"/>
      <c r="N108" s="54"/>
      <c r="O108" s="54"/>
      <c r="P108" s="59"/>
      <c r="T108" s="152"/>
      <c r="U108" s="126"/>
      <c r="V108" s="153"/>
      <c r="W108" s="154"/>
      <c r="X108" s="153"/>
      <c r="Y108" s="154"/>
      <c r="AA108" s="54"/>
      <c r="AB108" s="54"/>
    </row>
    <row r="109" spans="2:28" ht="15.75" x14ac:dyDescent="0.25">
      <c r="B109" s="37" t="s">
        <v>272</v>
      </c>
      <c r="C109" s="38"/>
      <c r="D109" s="38"/>
      <c r="E109" s="39" t="s">
        <v>273</v>
      </c>
      <c r="F109" s="38"/>
      <c r="G109" s="38"/>
      <c r="H109" s="38" t="s">
        <v>167</v>
      </c>
      <c r="I109" s="51"/>
      <c r="J109" s="51">
        <f>SUM(J110:J116)</f>
        <v>1.3256640000000002</v>
      </c>
      <c r="K109" s="51"/>
      <c r="L109" s="51">
        <f>SUM(L110:L116)</f>
        <v>1.3256640000000002</v>
      </c>
      <c r="M109" s="51"/>
      <c r="N109" s="51">
        <f>SUM(N110:N116)</f>
        <v>1.3256640000000002</v>
      </c>
      <c r="O109" s="51"/>
      <c r="P109" s="44">
        <f>SUM(P110:P116)</f>
        <v>0.64632900000000004</v>
      </c>
      <c r="T109" s="148" t="s">
        <v>167</v>
      </c>
      <c r="U109" s="149"/>
      <c r="V109" s="150"/>
      <c r="W109" s="359">
        <f>SUM(W110:W116)</f>
        <v>0.7569342</v>
      </c>
      <c r="X109" s="150"/>
      <c r="Y109" s="155">
        <f>SUM(Y110:Y116)</f>
        <v>0.78247405714285712</v>
      </c>
      <c r="AA109" s="54"/>
      <c r="AB109" s="54"/>
    </row>
    <row r="110" spans="2:28" ht="14.25" outlineLevel="1" x14ac:dyDescent="0.2">
      <c r="B110" s="25"/>
      <c r="C110" s="26" t="s">
        <v>274</v>
      </c>
      <c r="D110" s="26"/>
      <c r="E110" s="26" t="s">
        <v>275</v>
      </c>
      <c r="F110" s="26"/>
      <c r="G110" s="26"/>
      <c r="H110" s="26">
        <v>1</v>
      </c>
      <c r="I110" s="52">
        <f>+'Top Level'!E48</f>
        <v>3.0000000000000001E-3</v>
      </c>
      <c r="J110" s="52">
        <f t="shared" ref="J110:J116" si="61">$H110*I110</f>
        <v>3.0000000000000001E-3</v>
      </c>
      <c r="K110" s="52">
        <f>+M110</f>
        <v>3.0000000000000001E-3</v>
      </c>
      <c r="L110" s="52">
        <f t="shared" ref="L110:L116" si="62">$H110*K110</f>
        <v>3.0000000000000001E-3</v>
      </c>
      <c r="M110" s="52">
        <f>+'Top Level'!F48</f>
        <v>3.0000000000000001E-3</v>
      </c>
      <c r="N110" s="52">
        <f t="shared" ref="N110:N116" si="63">$H110*M110</f>
        <v>3.0000000000000001E-3</v>
      </c>
      <c r="O110" s="52">
        <v>3.0000000000000001E-3</v>
      </c>
      <c r="P110" s="27">
        <f t="shared" ref="P110:P116" si="64">$H110*O110</f>
        <v>3.0000000000000001E-3</v>
      </c>
      <c r="T110" s="132"/>
      <c r="U110" s="103"/>
      <c r="V110" s="107"/>
      <c r="W110" s="105"/>
      <c r="X110" s="107"/>
      <c r="Y110" s="105"/>
      <c r="AA110" s="54">
        <f t="shared" si="59"/>
        <v>3.0000000000000001E-3</v>
      </c>
      <c r="AB110" s="54">
        <f t="shared" si="60"/>
        <v>3.0000000000000001E-3</v>
      </c>
    </row>
    <row r="111" spans="2:28" ht="14.25" outlineLevel="1" x14ac:dyDescent="0.2">
      <c r="B111" s="25"/>
      <c r="C111" s="26" t="s">
        <v>276</v>
      </c>
      <c r="D111" s="26"/>
      <c r="E111" s="26" t="s">
        <v>277</v>
      </c>
      <c r="F111" s="26"/>
      <c r="G111" s="26"/>
      <c r="H111" s="26">
        <v>1.7000000000000001E-2</v>
      </c>
      <c r="I111" s="52">
        <f>+'Top Level'!E49</f>
        <v>1.82</v>
      </c>
      <c r="J111" s="52">
        <f t="shared" si="61"/>
        <v>3.0940000000000002E-2</v>
      </c>
      <c r="K111" s="52">
        <f t="shared" ref="K111:K116" si="65">+M111</f>
        <v>1.82</v>
      </c>
      <c r="L111" s="52">
        <f t="shared" si="62"/>
        <v>3.0940000000000002E-2</v>
      </c>
      <c r="M111" s="52">
        <f>+'Top Level'!F49</f>
        <v>1.82</v>
      </c>
      <c r="N111" s="52">
        <f t="shared" si="63"/>
        <v>3.0940000000000002E-2</v>
      </c>
      <c r="O111" s="52">
        <v>1.54</v>
      </c>
      <c r="P111" s="27">
        <f t="shared" si="64"/>
        <v>2.6180000000000002E-2</v>
      </c>
      <c r="T111" s="132">
        <f>1/((48+64)/2)</f>
        <v>1.7857142857142856E-2</v>
      </c>
      <c r="U111" s="103"/>
      <c r="V111" s="107">
        <v>1.82</v>
      </c>
      <c r="W111" s="357">
        <f t="shared" ref="W111:W116" si="66">+V111*T111</f>
        <v>3.2500000000000001E-2</v>
      </c>
      <c r="X111" s="107">
        <v>1.8</v>
      </c>
      <c r="Y111" s="105">
        <f t="shared" ref="Y111:Y116" si="67">+X111*T111</f>
        <v>3.214285714285714E-2</v>
      </c>
      <c r="AA111" s="54">
        <f t="shared" si="59"/>
        <v>-1.5599999999999989E-3</v>
      </c>
      <c r="AB111" s="54">
        <f t="shared" si="60"/>
        <v>-1.5599999999999989E-3</v>
      </c>
    </row>
    <row r="112" spans="2:28" ht="14.25" outlineLevel="1" x14ac:dyDescent="0.2">
      <c r="B112" s="25"/>
      <c r="C112" s="26" t="s">
        <v>278</v>
      </c>
      <c r="D112" s="26"/>
      <c r="E112" s="26" t="s">
        <v>279</v>
      </c>
      <c r="F112" s="26"/>
      <c r="G112" s="26"/>
      <c r="H112" s="26">
        <v>1</v>
      </c>
      <c r="I112" s="52">
        <f>+'Top Level'!E50</f>
        <v>8.6999999999999994E-2</v>
      </c>
      <c r="J112" s="52">
        <f t="shared" si="61"/>
        <v>8.6999999999999994E-2</v>
      </c>
      <c r="K112" s="52">
        <f t="shared" si="65"/>
        <v>8.6999999999999994E-2</v>
      </c>
      <c r="L112" s="52">
        <f t="shared" si="62"/>
        <v>8.6999999999999994E-2</v>
      </c>
      <c r="M112" s="52">
        <f>+'Top Level'!F50</f>
        <v>8.6999999999999994E-2</v>
      </c>
      <c r="N112" s="52">
        <f t="shared" si="63"/>
        <v>8.6999999999999994E-2</v>
      </c>
      <c r="O112" s="52">
        <v>8.6999999999999994E-2</v>
      </c>
      <c r="P112" s="27">
        <f t="shared" si="64"/>
        <v>8.6999999999999994E-2</v>
      </c>
      <c r="T112" s="132">
        <v>1</v>
      </c>
      <c r="U112" s="103"/>
      <c r="V112" s="107">
        <v>7.3999999999999996E-2</v>
      </c>
      <c r="W112" s="357">
        <f t="shared" si="66"/>
        <v>7.3999999999999996E-2</v>
      </c>
      <c r="X112" s="107">
        <v>7.3999999999999996E-2</v>
      </c>
      <c r="Y112" s="105">
        <f t="shared" si="67"/>
        <v>7.3999999999999996E-2</v>
      </c>
      <c r="AA112" s="54">
        <f t="shared" si="59"/>
        <v>1.2999999999999998E-2</v>
      </c>
      <c r="AB112" s="54">
        <f t="shared" si="60"/>
        <v>1.2999999999999998E-2</v>
      </c>
    </row>
    <row r="113" spans="2:28" ht="14.25" outlineLevel="1" x14ac:dyDescent="0.2">
      <c r="B113" s="25"/>
      <c r="C113" s="26" t="s">
        <v>280</v>
      </c>
      <c r="D113" s="26"/>
      <c r="E113" s="26" t="s">
        <v>281</v>
      </c>
      <c r="F113" s="26"/>
      <c r="G113" s="26"/>
      <c r="H113" s="26">
        <v>1.7000000000000001E-2</v>
      </c>
      <c r="I113" s="52">
        <f>+'Top Level'!E51</f>
        <v>0.372</v>
      </c>
      <c r="J113" s="52">
        <f t="shared" si="61"/>
        <v>6.3240000000000006E-3</v>
      </c>
      <c r="K113" s="52">
        <f t="shared" si="65"/>
        <v>0.372</v>
      </c>
      <c r="L113" s="52">
        <f t="shared" si="62"/>
        <v>6.3240000000000006E-3</v>
      </c>
      <c r="M113" s="52">
        <f>+'Top Level'!F51</f>
        <v>0.372</v>
      </c>
      <c r="N113" s="52">
        <f t="shared" si="63"/>
        <v>6.3240000000000006E-3</v>
      </c>
      <c r="O113" s="52">
        <v>0.39700000000000002</v>
      </c>
      <c r="P113" s="27">
        <f t="shared" si="64"/>
        <v>6.7490000000000007E-3</v>
      </c>
      <c r="T113" s="132">
        <v>3.5999999999999997E-2</v>
      </c>
      <c r="U113" s="103"/>
      <c r="V113" s="107">
        <v>8.2199999999999995E-2</v>
      </c>
      <c r="W113" s="357">
        <f t="shared" si="66"/>
        <v>2.9591999999999995E-3</v>
      </c>
      <c r="X113" s="107">
        <v>8.2199999999999995E-2</v>
      </c>
      <c r="Y113" s="105">
        <f t="shared" si="67"/>
        <v>2.9591999999999995E-3</v>
      </c>
      <c r="AA113" s="54">
        <f t="shared" si="59"/>
        <v>3.3648000000000011E-3</v>
      </c>
      <c r="AB113" s="54">
        <f t="shared" si="60"/>
        <v>3.3648000000000011E-3</v>
      </c>
    </row>
    <row r="114" spans="2:28" ht="14.25" outlineLevel="1" x14ac:dyDescent="0.2">
      <c r="B114" s="25"/>
      <c r="C114" s="26" t="s">
        <v>282</v>
      </c>
      <c r="D114" s="26"/>
      <c r="E114" s="67" t="s">
        <v>283</v>
      </c>
      <c r="F114" s="26"/>
      <c r="G114" s="26"/>
      <c r="H114" s="26">
        <v>0.125</v>
      </c>
      <c r="I114" s="52">
        <f>+'Top Level'!E52</f>
        <v>4.78</v>
      </c>
      <c r="J114" s="52">
        <f t="shared" si="61"/>
        <v>0.59750000000000003</v>
      </c>
      <c r="K114" s="52">
        <f t="shared" si="65"/>
        <v>4.78</v>
      </c>
      <c r="L114" s="52">
        <f t="shared" si="62"/>
        <v>0.59750000000000003</v>
      </c>
      <c r="M114" s="52">
        <f>+'Top Level'!F52</f>
        <v>4.78</v>
      </c>
      <c r="N114" s="52">
        <f t="shared" si="63"/>
        <v>0.59750000000000003</v>
      </c>
      <c r="O114" s="466">
        <v>2.08</v>
      </c>
      <c r="P114" s="27">
        <f t="shared" si="64"/>
        <v>0.26</v>
      </c>
      <c r="T114" s="132">
        <v>0.125</v>
      </c>
      <c r="U114" s="103"/>
      <c r="V114" s="107">
        <v>2.5827</v>
      </c>
      <c r="W114" s="357">
        <f t="shared" si="66"/>
        <v>0.3228375</v>
      </c>
      <c r="X114" s="107">
        <v>2.6896</v>
      </c>
      <c r="Y114" s="105">
        <f t="shared" si="67"/>
        <v>0.3362</v>
      </c>
      <c r="AA114" s="54">
        <f t="shared" si="59"/>
        <v>0.27466250000000003</v>
      </c>
      <c r="AB114" s="54">
        <f t="shared" si="60"/>
        <v>0.27466250000000003</v>
      </c>
    </row>
    <row r="115" spans="2:28" ht="14.25" outlineLevel="1" x14ac:dyDescent="0.2">
      <c r="B115" s="25"/>
      <c r="C115" s="26" t="s">
        <v>284</v>
      </c>
      <c r="D115" s="26"/>
      <c r="E115" s="67" t="s">
        <v>285</v>
      </c>
      <c r="F115" s="26"/>
      <c r="G115" s="26"/>
      <c r="H115" s="26">
        <v>0.125</v>
      </c>
      <c r="I115" s="52">
        <f>+'Top Level'!E53</f>
        <v>4.78</v>
      </c>
      <c r="J115" s="52">
        <f t="shared" si="61"/>
        <v>0.59750000000000003</v>
      </c>
      <c r="K115" s="52">
        <f t="shared" si="65"/>
        <v>4.78</v>
      </c>
      <c r="L115" s="52">
        <f t="shared" si="62"/>
        <v>0.59750000000000003</v>
      </c>
      <c r="M115" s="52">
        <f>+'Top Level'!F53</f>
        <v>4.78</v>
      </c>
      <c r="N115" s="52">
        <f t="shared" si="63"/>
        <v>0.59750000000000003</v>
      </c>
      <c r="O115" s="466">
        <v>2.08</v>
      </c>
      <c r="P115" s="27">
        <f t="shared" si="64"/>
        <v>0.26</v>
      </c>
      <c r="T115" s="132">
        <v>0.125</v>
      </c>
      <c r="U115" s="103"/>
      <c r="V115" s="107">
        <v>2.5827</v>
      </c>
      <c r="W115" s="357">
        <f t="shared" si="66"/>
        <v>0.3228375</v>
      </c>
      <c r="X115" s="107">
        <v>2.6896</v>
      </c>
      <c r="Y115" s="105">
        <f t="shared" si="67"/>
        <v>0.3362</v>
      </c>
      <c r="AA115" s="54">
        <f t="shared" si="59"/>
        <v>0.27466250000000003</v>
      </c>
      <c r="AB115" s="54">
        <f t="shared" si="60"/>
        <v>0.27466250000000003</v>
      </c>
    </row>
    <row r="116" spans="2:28" ht="15" outlineLevel="1" thickBot="1" x14ac:dyDescent="0.25">
      <c r="B116" s="33"/>
      <c r="C116" s="34" t="s">
        <v>286</v>
      </c>
      <c r="D116" s="34"/>
      <c r="E116" s="68" t="s">
        <v>287</v>
      </c>
      <c r="F116" s="34"/>
      <c r="G116" s="34"/>
      <c r="H116" s="34">
        <v>1.7000000000000001E-2</v>
      </c>
      <c r="I116" s="55">
        <f>+'Top Level'!E55</f>
        <v>0.2</v>
      </c>
      <c r="J116" s="55">
        <f t="shared" si="61"/>
        <v>3.4000000000000002E-3</v>
      </c>
      <c r="K116" s="55">
        <f t="shared" si="65"/>
        <v>0.2</v>
      </c>
      <c r="L116" s="55">
        <f t="shared" si="62"/>
        <v>3.4000000000000002E-3</v>
      </c>
      <c r="M116" s="55">
        <f>+'Top Level'!F55</f>
        <v>0.2</v>
      </c>
      <c r="N116" s="55">
        <f t="shared" si="63"/>
        <v>3.4000000000000002E-3</v>
      </c>
      <c r="O116" s="55">
        <v>0.2</v>
      </c>
      <c r="P116" s="35">
        <f t="shared" si="64"/>
        <v>3.4000000000000002E-3</v>
      </c>
      <c r="T116" s="137">
        <v>1.7999999999999999E-2</v>
      </c>
      <c r="U116" s="127"/>
      <c r="V116" s="128">
        <v>0.1</v>
      </c>
      <c r="W116" s="362">
        <f t="shared" si="66"/>
        <v>1.8E-3</v>
      </c>
      <c r="X116" s="128">
        <v>5.3999999999999999E-2</v>
      </c>
      <c r="Y116" s="129">
        <f t="shared" si="67"/>
        <v>9.7199999999999988E-4</v>
      </c>
      <c r="AA116" s="54">
        <f t="shared" si="59"/>
        <v>1.6000000000000003E-3</v>
      </c>
      <c r="AB116" s="54">
        <f t="shared" si="60"/>
        <v>1.6000000000000003E-3</v>
      </c>
    </row>
    <row r="117" spans="2:28" ht="13.5" thickBot="1" x14ac:dyDescent="0.25">
      <c r="J117" s="54"/>
      <c r="L117" s="54"/>
      <c r="N117" s="54"/>
      <c r="AA117" s="54"/>
      <c r="AB117" s="54"/>
    </row>
    <row r="118" spans="2:28" ht="13.5" customHeight="1" x14ac:dyDescent="0.2">
      <c r="B118" s="37" t="s">
        <v>288</v>
      </c>
      <c r="C118" s="38"/>
      <c r="D118" s="38"/>
      <c r="E118" s="39" t="s">
        <v>288</v>
      </c>
      <c r="F118" s="38"/>
      <c r="G118" s="38"/>
      <c r="H118" s="38" t="s">
        <v>167</v>
      </c>
      <c r="I118" s="51"/>
      <c r="J118" s="51">
        <f>+PCA!J95</f>
        <v>-4.2962745098039221</v>
      </c>
      <c r="K118" s="51"/>
      <c r="L118" s="51">
        <f>+N118</f>
        <v>-4.2962745098039221</v>
      </c>
      <c r="M118" s="51"/>
      <c r="N118" s="51">
        <f>IF('Top Level'!L83&gt;1,+PCA!N95,0)</f>
        <v>-4.2962745098039221</v>
      </c>
      <c r="O118" s="51"/>
      <c r="P118" s="342"/>
      <c r="AA118" s="54"/>
      <c r="AB118" s="54"/>
    </row>
    <row r="119" spans="2:28" ht="12.75" customHeight="1" x14ac:dyDescent="0.2"/>
    <row r="120" spans="2:28" ht="0.75" customHeight="1" x14ac:dyDescent="0.2">
      <c r="J120" s="59"/>
      <c r="K120" s="54"/>
      <c r="L120" s="334"/>
      <c r="M120" s="54"/>
      <c r="Q120" s="163" t="s">
        <v>289</v>
      </c>
    </row>
    <row r="121" spans="2:28" ht="0.75" customHeight="1" x14ac:dyDescent="0.2">
      <c r="E121" s="57"/>
      <c r="J121" s="54"/>
      <c r="Q121" s="162" t="s">
        <v>290</v>
      </c>
    </row>
    <row r="122" spans="2:28" ht="0.75" customHeight="1" x14ac:dyDescent="0.2">
      <c r="I122" s="77"/>
      <c r="K122" s="77"/>
      <c r="M122" s="77"/>
      <c r="O122" s="77">
        <v>0.33</v>
      </c>
      <c r="Q122" s="181" t="s">
        <v>291</v>
      </c>
    </row>
    <row r="123" spans="2:28" x14ac:dyDescent="0.2">
      <c r="E123" s="6"/>
      <c r="I123" s="78"/>
      <c r="J123" s="69"/>
      <c r="K123" s="78"/>
      <c r="L123" s="69"/>
      <c r="M123" s="78"/>
      <c r="N123" s="69"/>
      <c r="O123" s="78"/>
      <c r="P123" s="69"/>
      <c r="U123" s="57"/>
    </row>
    <row r="124" spans="2:28" x14ac:dyDescent="0.2">
      <c r="E124" s="12"/>
      <c r="I124" s="80"/>
      <c r="J124" s="70"/>
      <c r="K124" s="80"/>
      <c r="L124" s="70"/>
      <c r="M124" s="80"/>
      <c r="N124" s="70"/>
      <c r="O124" s="80"/>
      <c r="P124" s="70"/>
    </row>
    <row r="125" spans="2:28" x14ac:dyDescent="0.2">
      <c r="I125" s="80"/>
      <c r="K125" s="80"/>
      <c r="M125" s="80"/>
      <c r="O125" s="80"/>
    </row>
    <row r="126" spans="2:28" ht="15" x14ac:dyDescent="0.25">
      <c r="E126" s="71" t="s">
        <v>292</v>
      </c>
      <c r="F126" s="2"/>
      <c r="G126" s="3"/>
      <c r="H126" s="3"/>
      <c r="I126" s="81"/>
      <c r="J126" s="395">
        <f>SUM(J7:J14)+J23+J29+J30+J107+J109</f>
        <v>92.404509200000007</v>
      </c>
      <c r="K126" s="396"/>
      <c r="L126" s="395">
        <f>SUM(L7:L14)+L23+L29+L30+L107+L109</f>
        <v>86.314509200000003</v>
      </c>
      <c r="M126" s="396"/>
      <c r="N126" s="395">
        <f>SUM(N7:N14)+N23+N29+N30+N107+N109</f>
        <v>86.261509200000006</v>
      </c>
      <c r="O126" s="81"/>
      <c r="P126" s="65"/>
    </row>
    <row r="127" spans="2:28" ht="15" x14ac:dyDescent="0.25">
      <c r="E127" s="6" t="s">
        <v>293</v>
      </c>
      <c r="F127" s="7"/>
      <c r="G127" s="5"/>
      <c r="H127" s="5"/>
      <c r="I127" s="82"/>
      <c r="J127" s="74">
        <f>+'Top Level'!K62</f>
        <v>2.4027115632</v>
      </c>
      <c r="K127" s="82"/>
      <c r="L127" s="74">
        <f>+N127</f>
        <v>0.82589966399999992</v>
      </c>
      <c r="M127" s="82"/>
      <c r="N127" s="74">
        <f>+'Top Level'!L62</f>
        <v>0.82589966399999992</v>
      </c>
      <c r="O127" s="82"/>
      <c r="P127" s="74"/>
      <c r="Q127" s="4"/>
      <c r="R127" s="4"/>
      <c r="Y127" s="59"/>
    </row>
    <row r="128" spans="2:28" x14ac:dyDescent="0.2">
      <c r="E128" s="6" t="s">
        <v>294</v>
      </c>
      <c r="F128" s="9"/>
      <c r="G128" s="10" t="s">
        <v>295</v>
      </c>
      <c r="H128" s="5"/>
      <c r="I128" s="83"/>
      <c r="J128" s="74">
        <f>+'Top Level'!K77</f>
        <v>2.6307400000000003</v>
      </c>
      <c r="K128" s="83"/>
      <c r="L128" s="74">
        <f>+N128</f>
        <v>2.5389700000000004</v>
      </c>
      <c r="M128" s="83"/>
      <c r="N128" s="74">
        <f>+'Top Level'!L77</f>
        <v>2.5389700000000004</v>
      </c>
      <c r="O128" s="83"/>
      <c r="P128" s="74"/>
      <c r="Q128" s="8"/>
      <c r="R128" s="8"/>
    </row>
    <row r="129" spans="4:18" x14ac:dyDescent="0.2">
      <c r="E129" s="12" t="s">
        <v>296</v>
      </c>
      <c r="F129" s="7"/>
      <c r="G129" s="11"/>
      <c r="H129" s="11"/>
      <c r="I129" s="82"/>
      <c r="J129" s="75">
        <f>+'Top Level'!K64</f>
        <v>1.0165318152</v>
      </c>
      <c r="K129" s="82"/>
      <c r="L129" s="74">
        <f>+N129</f>
        <v>0.41294983199999996</v>
      </c>
      <c r="M129" s="82"/>
      <c r="N129" s="75">
        <f>+'Top Level'!L64</f>
        <v>0.41294983199999996</v>
      </c>
      <c r="O129" s="82"/>
      <c r="P129" s="75"/>
      <c r="Q129" s="8"/>
      <c r="R129" s="8"/>
    </row>
    <row r="130" spans="4:18" x14ac:dyDescent="0.2">
      <c r="E130" s="12" t="s">
        <v>297</v>
      </c>
      <c r="F130" s="7"/>
      <c r="G130" s="11"/>
      <c r="H130" s="11"/>
      <c r="I130" s="82"/>
      <c r="J130" s="75">
        <f>+'Top Level'!K66</f>
        <v>0.14000000000000001</v>
      </c>
      <c r="K130" s="82"/>
      <c r="L130" s="74">
        <f>+N130</f>
        <v>0.14000000000000001</v>
      </c>
      <c r="M130" s="82"/>
      <c r="N130" s="75">
        <f>+'Top Level'!L66</f>
        <v>0.14000000000000001</v>
      </c>
      <c r="O130" s="82"/>
      <c r="P130" s="75"/>
      <c r="Q130" s="13"/>
      <c r="R130" s="13"/>
    </row>
    <row r="131" spans="4:18" x14ac:dyDescent="0.2">
      <c r="E131" s="12" t="s">
        <v>298</v>
      </c>
      <c r="F131" s="7"/>
      <c r="G131" s="11"/>
      <c r="H131" s="11"/>
      <c r="I131" s="82"/>
      <c r="J131" s="75">
        <f>+'Top Level'!K83</f>
        <v>36.949500639999997</v>
      </c>
      <c r="K131" s="82"/>
      <c r="L131" s="75">
        <f>+N131</f>
        <v>18.848684203680001</v>
      </c>
      <c r="M131" s="82"/>
      <c r="N131" s="75">
        <f>IF('Top Level'!L83&gt;1,'Top Level'!L83,'Top Level'!#REF!)</f>
        <v>18.848684203680001</v>
      </c>
      <c r="O131" s="82"/>
      <c r="P131" s="75"/>
      <c r="Q131" s="13"/>
      <c r="R131" s="13"/>
    </row>
    <row r="132" spans="4:18" x14ac:dyDescent="0.2">
      <c r="E132" s="12" t="s">
        <v>299</v>
      </c>
      <c r="F132" s="7"/>
      <c r="G132" s="11"/>
      <c r="H132" s="11"/>
      <c r="I132" s="82"/>
      <c r="J132" s="75"/>
      <c r="K132" s="82"/>
      <c r="L132" s="75"/>
      <c r="M132" s="82"/>
      <c r="N132" s="75"/>
      <c r="O132" s="82"/>
      <c r="P132" s="75"/>
      <c r="Q132" s="13"/>
      <c r="R132" s="13"/>
    </row>
    <row r="133" spans="4:18" x14ac:dyDescent="0.2">
      <c r="D133" s="1"/>
      <c r="E133" s="15" t="s">
        <v>300</v>
      </c>
      <c r="F133" s="7"/>
      <c r="I133" s="82"/>
      <c r="J133" s="74">
        <f>+'Top Level'!K81</f>
        <v>2.3664471978816004</v>
      </c>
      <c r="K133" s="82"/>
      <c r="L133" s="74">
        <f>+N133</f>
        <v>0.90425605391999997</v>
      </c>
      <c r="M133" s="82"/>
      <c r="N133" s="74">
        <f>+'Top Level'!L81</f>
        <v>0.90425605391999997</v>
      </c>
      <c r="O133" s="82"/>
      <c r="P133" s="74"/>
      <c r="Q133" s="13"/>
      <c r="R133" s="13"/>
    </row>
    <row r="134" spans="4:18" x14ac:dyDescent="0.2">
      <c r="D134" s="5"/>
      <c r="I134" s="84"/>
      <c r="K134" s="84"/>
      <c r="M134" s="84"/>
      <c r="O134" s="84"/>
      <c r="Q134" s="8"/>
      <c r="R134" s="8"/>
    </row>
    <row r="135" spans="4:18" x14ac:dyDescent="0.2">
      <c r="D135" s="5"/>
      <c r="Q135" s="18"/>
      <c r="R135" s="18"/>
    </row>
    <row r="136" spans="4:18" ht="15" x14ac:dyDescent="0.25">
      <c r="D136" s="11"/>
      <c r="E136" s="2" t="s">
        <v>301</v>
      </c>
      <c r="F136" s="2"/>
      <c r="G136" s="3"/>
      <c r="H136" s="3"/>
      <c r="I136" s="2"/>
      <c r="J136" s="73">
        <f>SUM(J126:J133)</f>
        <v>137.9104404162816</v>
      </c>
      <c r="K136" s="2"/>
      <c r="L136" s="73">
        <f>SUM(L126:L133)</f>
        <v>109.98526895360001</v>
      </c>
      <c r="M136" s="2"/>
      <c r="N136" s="73">
        <f>SUM(N126:N133)</f>
        <v>109.93226895360002</v>
      </c>
      <c r="O136" s="2"/>
      <c r="P136" s="73"/>
      <c r="Q136" s="18"/>
      <c r="R136" s="18"/>
    </row>
    <row r="137" spans="4:18" ht="12.75" customHeight="1" x14ac:dyDescent="0.25">
      <c r="D137" s="11"/>
      <c r="E137" s="2"/>
      <c r="F137" s="2"/>
      <c r="G137" s="3"/>
      <c r="H137" s="3"/>
      <c r="I137" s="2"/>
      <c r="J137" s="73"/>
      <c r="K137" s="2"/>
      <c r="L137" s="73"/>
      <c r="M137" s="2"/>
      <c r="N137" s="73"/>
      <c r="O137" s="2"/>
      <c r="P137" s="73"/>
      <c r="Q137" s="4"/>
      <c r="R137" s="4"/>
    </row>
    <row r="138" spans="4:18" ht="13.5" customHeight="1" x14ac:dyDescent="0.25">
      <c r="D138" s="11"/>
      <c r="E138" s="87" t="s">
        <v>302</v>
      </c>
      <c r="F138" s="2"/>
      <c r="G138" s="3"/>
      <c r="H138" s="3"/>
      <c r="I138" s="2"/>
      <c r="J138" s="73"/>
      <c r="K138" s="2"/>
      <c r="L138" s="73"/>
      <c r="M138" s="2"/>
      <c r="N138" s="73"/>
      <c r="O138" s="2"/>
      <c r="P138" s="73"/>
      <c r="Q138" s="4"/>
      <c r="R138" s="4"/>
    </row>
    <row r="139" spans="4:18" ht="15" x14ac:dyDescent="0.25">
      <c r="D139" s="11"/>
      <c r="E139" s="88" t="s">
        <v>303</v>
      </c>
      <c r="F139" s="2"/>
      <c r="G139" s="3"/>
      <c r="H139" s="3"/>
      <c r="I139" s="2"/>
      <c r="J139" s="393">
        <f>+J118</f>
        <v>-4.2962745098039221</v>
      </c>
      <c r="K139" s="2"/>
      <c r="L139" s="73">
        <f>+L118</f>
        <v>-4.2962745098039221</v>
      </c>
      <c r="M139" s="2"/>
      <c r="N139" s="73">
        <f>IF('Top Level'!L83&gt;1,PCA!L95,0)</f>
        <v>0</v>
      </c>
      <c r="O139" s="2"/>
      <c r="P139" s="73"/>
      <c r="Q139" s="4"/>
      <c r="R139" s="4"/>
    </row>
    <row r="140" spans="4:18" ht="15" x14ac:dyDescent="0.25">
      <c r="D140" s="14"/>
      <c r="E140" s="89" t="s">
        <v>304</v>
      </c>
      <c r="F140" s="19"/>
      <c r="G140" s="19"/>
      <c r="H140" s="19"/>
      <c r="I140" s="19"/>
      <c r="J140" s="73">
        <f>SUM(J136:J139)</f>
        <v>133.61416590647769</v>
      </c>
      <c r="K140" s="19"/>
      <c r="L140" s="73">
        <f>SUM(L136:L139)</f>
        <v>105.68899444379609</v>
      </c>
      <c r="M140" s="19"/>
      <c r="N140" s="73">
        <f>SUM(N136:N139)</f>
        <v>109.93226895360002</v>
      </c>
      <c r="O140" s="19"/>
      <c r="P140" s="73"/>
      <c r="Q140" s="4"/>
      <c r="R140" s="4"/>
    </row>
    <row r="141" spans="4:18" ht="12.75" customHeight="1" x14ac:dyDescent="0.25">
      <c r="D141" s="1"/>
      <c r="E141" s="2"/>
      <c r="F141" s="19"/>
      <c r="G141" s="19"/>
      <c r="H141" s="19"/>
      <c r="I141" s="19"/>
      <c r="J141" s="4"/>
      <c r="K141" s="4"/>
      <c r="L141" s="4"/>
      <c r="M141" s="4"/>
      <c r="N141" s="4"/>
      <c r="O141" s="4"/>
      <c r="P141" s="4"/>
      <c r="Q141" s="4"/>
      <c r="R141" s="4"/>
    </row>
    <row r="142" spans="4:18" ht="12" customHeight="1" x14ac:dyDescent="0.25">
      <c r="D142" s="1"/>
      <c r="E142" s="86" t="s">
        <v>305</v>
      </c>
      <c r="F142" s="16"/>
      <c r="G142" s="17"/>
      <c r="H142" s="17"/>
      <c r="I142" s="16"/>
      <c r="J142" s="18"/>
      <c r="K142" s="4"/>
      <c r="L142" s="4"/>
      <c r="M142" s="4"/>
      <c r="N142" s="4"/>
      <c r="O142" s="4"/>
      <c r="P142" s="4"/>
      <c r="Q142" s="4"/>
      <c r="R142" s="4"/>
    </row>
    <row r="143" spans="4:18" ht="13.5" customHeight="1" x14ac:dyDescent="0.25">
      <c r="D143" s="1"/>
      <c r="E143" s="16" t="s">
        <v>306</v>
      </c>
      <c r="F143" s="16"/>
      <c r="G143" s="17"/>
      <c r="H143" s="17"/>
      <c r="I143" s="16"/>
      <c r="J143" s="90">
        <f>+J126+J131-J106-J144+J139</f>
        <v>111.58923469019608</v>
      </c>
      <c r="L143" s="90">
        <f>+L126+L131-L106-L144+L139</f>
        <v>92.18373439387608</v>
      </c>
      <c r="N143" s="90">
        <f>+N126+N131-N106-N144+N139</f>
        <v>96.427008903680004</v>
      </c>
      <c r="P143" s="90"/>
      <c r="Q143" s="4"/>
      <c r="R143" s="4"/>
    </row>
    <row r="144" spans="4:18" x14ac:dyDescent="0.2">
      <c r="D144" s="1"/>
      <c r="E144" s="16" t="s">
        <v>307</v>
      </c>
      <c r="F144" s="16"/>
      <c r="G144" s="17"/>
      <c r="H144" s="17"/>
      <c r="I144" s="392"/>
      <c r="J144" s="90">
        <f>+Comparison!L11</f>
        <v>8.1199999999999992</v>
      </c>
      <c r="K144" s="392"/>
      <c r="L144" s="90">
        <f>+N144</f>
        <v>3.85</v>
      </c>
      <c r="M144" s="392"/>
      <c r="N144" s="90">
        <f>+Comparison!J11</f>
        <v>3.85</v>
      </c>
      <c r="O144" s="83"/>
      <c r="P144" s="90"/>
    </row>
    <row r="145" spans="4:20" x14ac:dyDescent="0.2">
      <c r="D145" s="1"/>
      <c r="E145" t="s">
        <v>308</v>
      </c>
      <c r="J145" s="72">
        <f>+J106</f>
        <v>5.3485006399999975</v>
      </c>
      <c r="L145" s="72">
        <f>+L106</f>
        <v>4.8331845000000015</v>
      </c>
      <c r="N145" s="72">
        <f>+N106</f>
        <v>4.8331845000000015</v>
      </c>
      <c r="P145" s="72"/>
      <c r="Q145" s="92"/>
    </row>
    <row r="146" spans="4:20" x14ac:dyDescent="0.2">
      <c r="D146" s="1"/>
      <c r="E146" t="s">
        <v>309</v>
      </c>
      <c r="J146" s="72">
        <f>+J127+J128+J129+J130+J133</f>
        <v>8.5564305762816009</v>
      </c>
      <c r="L146" s="72">
        <f>SUM(L127:L133)-L131</f>
        <v>4.822075549920001</v>
      </c>
      <c r="N146" s="72">
        <f>+N127+N128+N129+N130+N133</f>
        <v>4.8220755499200001</v>
      </c>
      <c r="P146" s="72"/>
    </row>
    <row r="147" spans="4:20" x14ac:dyDescent="0.2">
      <c r="D147" s="19"/>
      <c r="J147" s="91">
        <f>SUM(J143:J146)</f>
        <v>133.61416590647769</v>
      </c>
      <c r="L147" s="91">
        <f>SUM(L143:L146)</f>
        <v>105.68899444379608</v>
      </c>
      <c r="N147" s="91">
        <f>SUM(N143:N146)</f>
        <v>109.9322689536</v>
      </c>
      <c r="P147" s="91"/>
    </row>
    <row r="148" spans="4:20" x14ac:dyDescent="0.2">
      <c r="D148" s="19"/>
    </row>
    <row r="149" spans="4:20" ht="11.25" customHeight="1" x14ac:dyDescent="0.2">
      <c r="D149" s="5"/>
      <c r="J149" s="92"/>
      <c r="L149" s="92"/>
      <c r="N149" s="92"/>
      <c r="P149" s="92"/>
    </row>
    <row r="150" spans="4:20" x14ac:dyDescent="0.2">
      <c r="P150" s="92"/>
    </row>
    <row r="160" spans="4:20" x14ac:dyDescent="0.2">
      <c r="T160"/>
    </row>
    <row r="161" spans="20:20" x14ac:dyDescent="0.2">
      <c r="T161"/>
    </row>
    <row r="162" spans="20:20" x14ac:dyDescent="0.2">
      <c r="T162"/>
    </row>
    <row r="163" spans="20:20" x14ac:dyDescent="0.2">
      <c r="T163"/>
    </row>
    <row r="164" spans="20:20" x14ac:dyDescent="0.2">
      <c r="T164"/>
    </row>
    <row r="165" spans="20:20" x14ac:dyDescent="0.2">
      <c r="T165"/>
    </row>
    <row r="166" spans="20:20" x14ac:dyDescent="0.2">
      <c r="T166"/>
    </row>
    <row r="167" spans="20:20" x14ac:dyDescent="0.2">
      <c r="T167"/>
    </row>
    <row r="168" spans="20:20" x14ac:dyDescent="0.2">
      <c r="T168"/>
    </row>
    <row r="169" spans="20:20" x14ac:dyDescent="0.2">
      <c r="T169"/>
    </row>
    <row r="170" spans="20:20" x14ac:dyDescent="0.2">
      <c r="T170"/>
    </row>
    <row r="171" spans="20:20" x14ac:dyDescent="0.2">
      <c r="T171"/>
    </row>
    <row r="172" spans="20:20" x14ac:dyDescent="0.2">
      <c r="T172"/>
    </row>
    <row r="173" spans="20:20" x14ac:dyDescent="0.2">
      <c r="T173"/>
    </row>
    <row r="174" spans="20:20" x14ac:dyDescent="0.2">
      <c r="T174"/>
    </row>
    <row r="175" spans="20:20" x14ac:dyDescent="0.2">
      <c r="T175"/>
    </row>
    <row r="176" spans="20:20" x14ac:dyDescent="0.2">
      <c r="T176"/>
    </row>
    <row r="177" spans="10:20" x14ac:dyDescent="0.2">
      <c r="T177"/>
    </row>
    <row r="192" spans="10:20" x14ac:dyDescent="0.2">
      <c r="J192" s="59"/>
    </row>
    <row r="193" spans="10:10" x14ac:dyDescent="0.2">
      <c r="J193" s="59"/>
    </row>
    <row r="194" spans="10:10" x14ac:dyDescent="0.2">
      <c r="J194" s="59"/>
    </row>
    <row r="195" spans="10:10" x14ac:dyDescent="0.2">
      <c r="J195" s="59"/>
    </row>
    <row r="196" spans="10:10" x14ac:dyDescent="0.2">
      <c r="J196" s="59"/>
    </row>
    <row r="197" spans="10:10" x14ac:dyDescent="0.2">
      <c r="J197" s="59"/>
    </row>
    <row r="198" spans="10:10" x14ac:dyDescent="0.2">
      <c r="J198" s="59"/>
    </row>
    <row r="199" spans="10:10" x14ac:dyDescent="0.2">
      <c r="J199" s="59"/>
    </row>
    <row r="200" spans="10:10" x14ac:dyDescent="0.2">
      <c r="J200" s="59"/>
    </row>
    <row r="201" spans="10:10" x14ac:dyDescent="0.2">
      <c r="J201" s="59"/>
    </row>
    <row r="202" spans="10:10" x14ac:dyDescent="0.2">
      <c r="J202" s="59"/>
    </row>
    <row r="203" spans="10:10" x14ac:dyDescent="0.2">
      <c r="J203" s="59"/>
    </row>
    <row r="204" spans="10:10" x14ac:dyDescent="0.2">
      <c r="J204" s="59"/>
    </row>
    <row r="205" spans="10:10" x14ac:dyDescent="0.2">
      <c r="J205" s="59"/>
    </row>
    <row r="206" spans="10:10" x14ac:dyDescent="0.2">
      <c r="J206" s="59"/>
    </row>
    <row r="207" spans="10:10" x14ac:dyDescent="0.2">
      <c r="J207" s="59"/>
    </row>
    <row r="208" spans="10:10" x14ac:dyDescent="0.2">
      <c r="J208" s="59"/>
    </row>
    <row r="209" spans="10:10" x14ac:dyDescent="0.2">
      <c r="J209" s="59"/>
    </row>
    <row r="210" spans="10:10" x14ac:dyDescent="0.2">
      <c r="J210" s="59"/>
    </row>
    <row r="211" spans="10:10" x14ac:dyDescent="0.2">
      <c r="J211" s="59"/>
    </row>
    <row r="212" spans="10:10" x14ac:dyDescent="0.2">
      <c r="J212" s="59"/>
    </row>
    <row r="213" spans="10:10" x14ac:dyDescent="0.2">
      <c r="J213" s="59"/>
    </row>
    <row r="214" spans="10:10" x14ac:dyDescent="0.2">
      <c r="J214" s="59"/>
    </row>
    <row r="215" spans="10:10" x14ac:dyDescent="0.2">
      <c r="J215" s="59"/>
    </row>
    <row r="216" spans="10:10" x14ac:dyDescent="0.2">
      <c r="J216" s="59"/>
    </row>
    <row r="217" spans="10:10" x14ac:dyDescent="0.2">
      <c r="J217" s="59"/>
    </row>
    <row r="218" spans="10:10" x14ac:dyDescent="0.2">
      <c r="J218" s="59"/>
    </row>
    <row r="219" spans="10:10" x14ac:dyDescent="0.2">
      <c r="J219" s="59"/>
    </row>
    <row r="220" spans="10:10" x14ac:dyDescent="0.2">
      <c r="J220" s="59"/>
    </row>
    <row r="221" spans="10:10" x14ac:dyDescent="0.2">
      <c r="J221" s="59"/>
    </row>
    <row r="222" spans="10:10" x14ac:dyDescent="0.2">
      <c r="J222" s="59"/>
    </row>
    <row r="223" spans="10:10" x14ac:dyDescent="0.2">
      <c r="J223" s="59"/>
    </row>
    <row r="224" spans="10:10" x14ac:dyDescent="0.2">
      <c r="J224" s="59"/>
    </row>
    <row r="225" spans="10:10" x14ac:dyDescent="0.2">
      <c r="J225" s="59"/>
    </row>
    <row r="226" spans="10:10" x14ac:dyDescent="0.2">
      <c r="J226" s="59"/>
    </row>
    <row r="227" spans="10:10" x14ac:dyDescent="0.2">
      <c r="J227" s="59"/>
    </row>
    <row r="228" spans="10:10" x14ac:dyDescent="0.2">
      <c r="J228" s="59"/>
    </row>
    <row r="229" spans="10:10" x14ac:dyDescent="0.2">
      <c r="J229" s="59"/>
    </row>
    <row r="230" spans="10:10" x14ac:dyDescent="0.2">
      <c r="J230" s="59"/>
    </row>
    <row r="231" spans="10:10" x14ac:dyDescent="0.2">
      <c r="J231" s="59"/>
    </row>
    <row r="232" spans="10:10" x14ac:dyDescent="0.2">
      <c r="J232" s="59"/>
    </row>
    <row r="233" spans="10:10" x14ac:dyDescent="0.2">
      <c r="J233" s="59"/>
    </row>
    <row r="234" spans="10:10" x14ac:dyDescent="0.2">
      <c r="J234" s="59"/>
    </row>
    <row r="235" spans="10:10" x14ac:dyDescent="0.2">
      <c r="J235" s="59"/>
    </row>
    <row r="236" spans="10:10" x14ac:dyDescent="0.2">
      <c r="J236" s="59"/>
    </row>
    <row r="237" spans="10:10" x14ac:dyDescent="0.2">
      <c r="J237" s="59"/>
    </row>
    <row r="238" spans="10:10" x14ac:dyDescent="0.2">
      <c r="J238" s="59"/>
    </row>
    <row r="239" spans="10:10" x14ac:dyDescent="0.2">
      <c r="J239" s="59"/>
    </row>
    <row r="240" spans="10:10" x14ac:dyDescent="0.2">
      <c r="J240" s="59"/>
    </row>
    <row r="241" spans="10:10" x14ac:dyDescent="0.2">
      <c r="J241" s="59"/>
    </row>
  </sheetData>
  <printOptions gridLines="1" gridLinesSet="0"/>
  <pageMargins left="0.75" right="0.75" top="1" bottom="1" header="0.511811024" footer="0.511811024"/>
  <pageSetup scale="28" orientation="portrait" horizontalDpi="4294967293" r:id="rId1"/>
  <headerFooter alignWithMargins="0">
    <oddHeader>&amp;A</oddHeader>
    <oddFooter>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8"/>
  <sheetViews>
    <sheetView topLeftCell="A4" zoomScale="75" workbookViewId="0">
      <selection activeCell="J33" sqref="J33"/>
    </sheetView>
  </sheetViews>
  <sheetFormatPr baseColWidth="10" defaultRowHeight="12.75" x14ac:dyDescent="0.2"/>
  <cols>
    <col min="1" max="1" width="3" customWidth="1"/>
    <col min="2" max="2" width="19.28515625" customWidth="1"/>
    <col min="3" max="3" width="11.28515625" customWidth="1"/>
    <col min="4" max="4" width="8.140625" customWidth="1"/>
    <col min="5" max="5" width="11.42578125" customWidth="1"/>
    <col min="6" max="6" width="8" customWidth="1"/>
    <col min="7" max="7" width="11.42578125" customWidth="1"/>
    <col min="8" max="8" width="7.7109375" customWidth="1"/>
    <col min="9" max="9" width="1.7109375" customWidth="1"/>
    <col min="10" max="10" width="11.42578125" customWidth="1"/>
    <col min="11" max="11" width="8.5703125" customWidth="1"/>
    <col min="12" max="12" width="11.42578125" customWidth="1"/>
    <col min="13" max="13" width="8.140625" customWidth="1"/>
    <col min="14" max="14" width="11.42578125" customWidth="1"/>
    <col min="15" max="15" width="9" customWidth="1"/>
  </cols>
  <sheetData>
    <row r="2" spans="2:15" ht="15.75" x14ac:dyDescent="0.25">
      <c r="D2" s="399" t="s">
        <v>310</v>
      </c>
      <c r="E2" s="177"/>
      <c r="F2" s="177"/>
      <c r="G2" s="177"/>
      <c r="H2" s="177"/>
      <c r="I2" s="177"/>
      <c r="J2" s="177"/>
      <c r="K2" s="177"/>
      <c r="L2" s="177"/>
    </row>
    <row r="4" spans="2:15" ht="13.5" thickBot="1" x14ac:dyDescent="0.25"/>
    <row r="5" spans="2:15" ht="13.5" thickTop="1" x14ac:dyDescent="0.2">
      <c r="C5" s="407" t="s">
        <v>311</v>
      </c>
      <c r="D5" s="408"/>
      <c r="E5" s="408"/>
      <c r="F5" s="408"/>
      <c r="G5" s="408"/>
      <c r="J5" s="409" t="s">
        <v>312</v>
      </c>
      <c r="K5" s="410"/>
      <c r="L5" s="370" t="s">
        <v>313</v>
      </c>
      <c r="M5" s="369"/>
      <c r="N5" s="369"/>
      <c r="O5" s="369"/>
    </row>
    <row r="6" spans="2:15" ht="25.5" x14ac:dyDescent="0.2">
      <c r="C6" s="176" t="s">
        <v>0</v>
      </c>
      <c r="E6" s="176" t="s">
        <v>314</v>
      </c>
      <c r="G6" s="403" t="s">
        <v>315</v>
      </c>
      <c r="J6" s="411" t="s">
        <v>315</v>
      </c>
      <c r="K6" s="412"/>
      <c r="L6" s="76" t="s">
        <v>316</v>
      </c>
      <c r="N6" s="76" t="s">
        <v>4</v>
      </c>
    </row>
    <row r="7" spans="2:15" x14ac:dyDescent="0.2">
      <c r="J7" s="413"/>
      <c r="K7" s="412"/>
    </row>
    <row r="8" spans="2:15" x14ac:dyDescent="0.2">
      <c r="B8" s="167" t="s">
        <v>299</v>
      </c>
      <c r="C8" s="58">
        <f>+C10+C11</f>
        <v>39.32</v>
      </c>
      <c r="D8" s="58"/>
      <c r="E8" s="58">
        <f>+E10+E11</f>
        <v>37.6</v>
      </c>
      <c r="F8" s="58"/>
      <c r="G8" s="58">
        <f>+G10+G11</f>
        <v>39.450000000000003</v>
      </c>
      <c r="H8" s="167"/>
      <c r="I8" s="58"/>
      <c r="J8" s="414">
        <f>+J10+J11</f>
        <v>39.450000000000003</v>
      </c>
      <c r="K8" s="415"/>
      <c r="L8" s="58">
        <f>+'BOM - VAdded'!J29</f>
        <v>45.83</v>
      </c>
      <c r="M8" s="58"/>
      <c r="N8" s="58">
        <f>+N10+N11</f>
        <v>42.460999999999999</v>
      </c>
      <c r="O8" s="350"/>
    </row>
    <row r="9" spans="2:15" ht="7.5" customHeight="1" x14ac:dyDescent="0.2">
      <c r="C9" s="58"/>
      <c r="D9" s="58"/>
      <c r="E9" s="58"/>
      <c r="F9" s="58"/>
      <c r="G9" s="58"/>
      <c r="I9" s="58"/>
      <c r="J9" s="414"/>
      <c r="K9" s="412"/>
      <c r="L9" s="58"/>
      <c r="M9" s="58"/>
      <c r="N9" s="58"/>
      <c r="O9" s="350"/>
    </row>
    <row r="10" spans="2:15" x14ac:dyDescent="0.2">
      <c r="B10" t="s">
        <v>306</v>
      </c>
      <c r="C10" s="58">
        <f>+'BOM - VAdded'!O29</f>
        <v>39.32</v>
      </c>
      <c r="D10" s="58"/>
      <c r="E10" s="444">
        <v>35.6</v>
      </c>
      <c r="F10" s="58"/>
      <c r="G10" s="444">
        <v>35.6</v>
      </c>
      <c r="I10" s="58"/>
      <c r="J10" s="414">
        <v>35.6</v>
      </c>
      <c r="K10" s="412"/>
      <c r="L10" s="58">
        <f>+'BOM - VAdded'!I29</f>
        <v>37.71</v>
      </c>
      <c r="M10" s="58"/>
      <c r="N10" s="58">
        <f>+'BOM - VAdded'!W29</f>
        <v>34.750999999999998</v>
      </c>
      <c r="O10" s="350"/>
    </row>
    <row r="11" spans="2:15" x14ac:dyDescent="0.2">
      <c r="B11" t="s">
        <v>317</v>
      </c>
      <c r="C11" s="58">
        <v>0</v>
      </c>
      <c r="D11" s="58"/>
      <c r="E11" s="351">
        <v>2</v>
      </c>
      <c r="F11" s="58"/>
      <c r="G11" s="453">
        <v>3.85</v>
      </c>
      <c r="I11" s="58"/>
      <c r="J11" s="416">
        <v>3.85</v>
      </c>
      <c r="K11" s="412"/>
      <c r="L11" s="444">
        <v>8.1199999999999992</v>
      </c>
      <c r="M11" s="58"/>
      <c r="N11" s="351">
        <v>7.71</v>
      </c>
      <c r="O11" s="350"/>
    </row>
    <row r="12" spans="2:15" x14ac:dyDescent="0.2">
      <c r="C12" s="58"/>
      <c r="D12" s="58"/>
      <c r="E12" s="58"/>
      <c r="F12" s="58"/>
      <c r="G12" s="58"/>
      <c r="I12" s="58"/>
      <c r="J12" s="414"/>
      <c r="K12" s="412"/>
      <c r="L12" s="58"/>
      <c r="M12" s="58"/>
      <c r="N12" s="58"/>
      <c r="O12" s="58"/>
    </row>
    <row r="13" spans="2:15" x14ac:dyDescent="0.2">
      <c r="C13" s="58"/>
      <c r="D13" s="58"/>
      <c r="E13" s="58"/>
      <c r="F13" s="58"/>
      <c r="G13" s="58"/>
      <c r="I13" s="58"/>
      <c r="J13" s="414"/>
      <c r="K13" s="412"/>
      <c r="L13" s="58"/>
      <c r="M13" s="58"/>
      <c r="N13" s="58"/>
      <c r="O13" s="58"/>
    </row>
    <row r="14" spans="2:15" x14ac:dyDescent="0.2">
      <c r="C14" s="58"/>
      <c r="D14" s="58"/>
      <c r="E14" s="58"/>
      <c r="F14" s="58"/>
      <c r="G14" s="58"/>
      <c r="I14" s="58"/>
      <c r="J14" s="414"/>
      <c r="K14" s="412"/>
      <c r="L14" s="58"/>
      <c r="M14" s="58"/>
      <c r="N14" s="58"/>
      <c r="O14" s="58"/>
    </row>
    <row r="15" spans="2:15" x14ac:dyDescent="0.2">
      <c r="B15" s="167" t="s">
        <v>318</v>
      </c>
      <c r="C15" s="58">
        <f>SUM(C17:C22)</f>
        <v>87.3497342</v>
      </c>
      <c r="D15" s="58"/>
      <c r="E15" s="58">
        <f>SUM(E17:E23)</f>
        <v>81.790234200000015</v>
      </c>
      <c r="F15" s="58"/>
      <c r="G15" s="58">
        <f>SUM(G17:G22)</f>
        <v>80.805742953600003</v>
      </c>
      <c r="H15" s="167"/>
      <c r="I15" s="58"/>
      <c r="J15" s="414">
        <f>SUM(J17:J22)</f>
        <v>80.6057429536</v>
      </c>
      <c r="K15" s="415"/>
      <c r="L15" s="58">
        <f>SUM(L17:L22)</f>
        <v>90.384165906477676</v>
      </c>
      <c r="M15" s="58"/>
      <c r="N15" s="58">
        <f>SUM(N17:N23)</f>
        <v>82.022734200000002</v>
      </c>
      <c r="O15" s="58"/>
    </row>
    <row r="16" spans="2:15" ht="7.5" customHeight="1" x14ac:dyDescent="0.2">
      <c r="C16" s="58"/>
      <c r="D16" s="58"/>
      <c r="E16" s="58"/>
      <c r="F16" s="58"/>
      <c r="G16" s="58"/>
      <c r="I16" s="58"/>
      <c r="J16" s="414"/>
      <c r="K16" s="412"/>
      <c r="L16" s="58"/>
      <c r="M16" s="58"/>
      <c r="N16" s="58"/>
      <c r="O16" s="58"/>
    </row>
    <row r="17" spans="2:15" ht="12.75" customHeight="1" x14ac:dyDescent="0.2">
      <c r="B17" t="s">
        <v>319</v>
      </c>
      <c r="C17" s="58">
        <f>+'BOM - VAdded'!P7+'BOM - VAdded'!P8+'BOM - VAdded'!P9+'BOM - VAdded'!P10+'BOM - VAdded'!P11+'BOM - VAdded'!P12+'BOM - VAdded'!P13+'BOM - VAdded'!P14+'BOM - VAdded'!P23+'BOM - VAdded'!P30+'BOM - VAdded'!P107+'BOM - VAdded'!P109</f>
        <v>44.393034199999995</v>
      </c>
      <c r="D17" s="429">
        <f>+C17+C18</f>
        <v>73.839734199999995</v>
      </c>
      <c r="E17" s="58">
        <f>+'BOM - VAdded'!W5-'BOM - VAdded'!W29-'BOM - VAdded'!W57-'BOM - VAdded'!W56</f>
        <v>42.232834200000013</v>
      </c>
      <c r="F17" s="429">
        <f>+E17+E18</f>
        <v>70.9002342</v>
      </c>
      <c r="G17" s="58">
        <f>+'Top Level'!L56-'Top Level'!F40+'Top Level'!L58</f>
        <v>41.294983199999997</v>
      </c>
      <c r="H17" s="429">
        <f>+G17+G18</f>
        <v>69.600983200000002</v>
      </c>
      <c r="I17" s="350"/>
      <c r="J17" s="414">
        <f>+'Top Level'!L56-'Top Level'!F40+'Top Level'!L58</f>
        <v>41.294983199999997</v>
      </c>
      <c r="K17" s="417">
        <f>+J17+J18</f>
        <v>69.600983200000002</v>
      </c>
      <c r="L17" s="58">
        <f>+'BOM - VAdded'!J5-L18-L21-L8</f>
        <v>46.574509200000008</v>
      </c>
      <c r="M17" s="350">
        <f>+L17+L18</f>
        <v>73.879234690196085</v>
      </c>
      <c r="N17" s="58">
        <f>+'BOM - VAdded'!W5-'BOM - VAdded'!W29-'BOM - VAdded'!W57-'BOM - VAdded'!W56</f>
        <v>42.232834200000013</v>
      </c>
      <c r="O17" s="350">
        <f>+N17+N18</f>
        <v>70.9002342</v>
      </c>
    </row>
    <row r="18" spans="2:15" x14ac:dyDescent="0.2">
      <c r="B18" t="s">
        <v>320</v>
      </c>
      <c r="C18" s="58">
        <f>+'BOM - VAdded'!O57</f>
        <v>29.446700000000003</v>
      </c>
      <c r="D18" s="348"/>
      <c r="E18" s="58">
        <f>+'BOM - VAdded'!V57</f>
        <v>28.667399999999994</v>
      </c>
      <c r="F18" s="348"/>
      <c r="G18" s="58">
        <f>+IF(PCA!L92=0,E18,PCA!L92)</f>
        <v>28.306000000000001</v>
      </c>
      <c r="H18" s="348"/>
      <c r="I18" s="348"/>
      <c r="J18" s="414">
        <f>+PCA!L92</f>
        <v>28.306000000000001</v>
      </c>
      <c r="K18" s="418"/>
      <c r="L18" s="58">
        <f>+'BOM - VAdded'!I57+'BOM - VAdded'!J118</f>
        <v>27.304725490196077</v>
      </c>
      <c r="M18" s="348"/>
      <c r="N18" s="58">
        <f>+'BOM - VAdded'!V57</f>
        <v>28.667399999999994</v>
      </c>
      <c r="O18" s="348"/>
    </row>
    <row r="19" spans="2:15" x14ac:dyDescent="0.2">
      <c r="C19" s="58"/>
      <c r="E19" s="58"/>
      <c r="G19" s="58"/>
      <c r="J19" s="414"/>
      <c r="K19" s="412"/>
      <c r="L19" s="58"/>
      <c r="N19" s="58"/>
    </row>
    <row r="20" spans="2:15" x14ac:dyDescent="0.2">
      <c r="B20" s="85" t="s">
        <v>321</v>
      </c>
      <c r="C20" s="351">
        <v>2.6</v>
      </c>
      <c r="D20" s="430">
        <f>SUM(C20:C22)</f>
        <v>13.51</v>
      </c>
      <c r="E20" s="351">
        <f>6.34-1.8</f>
        <v>4.54</v>
      </c>
      <c r="F20" s="430">
        <f>SUM(E20:E23)</f>
        <v>10.889999999999999</v>
      </c>
      <c r="G20" s="351">
        <v>2.7</v>
      </c>
      <c r="H20" s="430">
        <f>SUM(G20:G22)</f>
        <v>11.204759753600001</v>
      </c>
      <c r="I20" s="349"/>
      <c r="J20" s="416">
        <v>2.5</v>
      </c>
      <c r="K20" s="419">
        <f>SUM(J20:J22)</f>
        <v>11.0047597536</v>
      </c>
      <c r="L20" s="351">
        <v>2.6</v>
      </c>
      <c r="M20" s="349">
        <f>SUM(L20:L22)</f>
        <v>16.504931216281598</v>
      </c>
      <c r="N20" s="351">
        <v>6.34</v>
      </c>
      <c r="O20" s="430">
        <f>SUM(N20:N23)</f>
        <v>11.122499999999999</v>
      </c>
    </row>
    <row r="21" spans="2:15" x14ac:dyDescent="0.2">
      <c r="B21" s="85" t="s">
        <v>322</v>
      </c>
      <c r="C21" s="58">
        <v>3.01</v>
      </c>
      <c r="D21" s="58"/>
      <c r="E21" s="444">
        <v>2.64</v>
      </c>
      <c r="F21" s="58"/>
      <c r="G21" s="58">
        <f>+IF(PCA!L89=0,E21,PCA!L89)</f>
        <v>3.68268420368</v>
      </c>
      <c r="H21" s="446">
        <v>4.5</v>
      </c>
      <c r="I21" s="58"/>
      <c r="J21" s="414">
        <f>+PCA!L89</f>
        <v>3.68268420368</v>
      </c>
      <c r="K21" s="420"/>
      <c r="L21" s="58">
        <f>+'BOM - VAdded'!J106</f>
        <v>5.3485006399999975</v>
      </c>
      <c r="M21" s="58"/>
      <c r="N21" s="58">
        <f>+'BOM - VAdded'!W106</f>
        <v>2.6175999999999999</v>
      </c>
      <c r="O21" s="58"/>
    </row>
    <row r="22" spans="2:15" x14ac:dyDescent="0.2">
      <c r="B22" s="85" t="s">
        <v>323</v>
      </c>
      <c r="C22" s="58">
        <v>7.9</v>
      </c>
      <c r="D22" s="58"/>
      <c r="E22" s="351">
        <v>2.7</v>
      </c>
      <c r="F22" s="58"/>
      <c r="G22" s="58">
        <f>+'Top Level'!L87</f>
        <v>4.8220755499200001</v>
      </c>
      <c r="H22" s="446">
        <v>5.5</v>
      </c>
      <c r="I22" s="58"/>
      <c r="J22" s="414">
        <f>+'Top Level'!L87</f>
        <v>4.8220755499200001</v>
      </c>
      <c r="K22" s="420"/>
      <c r="L22" s="58">
        <f>+'BOM - VAdded'!J146</f>
        <v>8.5564305762816009</v>
      </c>
      <c r="M22" s="58"/>
      <c r="N22" s="445">
        <f>+'BOM - VAdded'!W56</f>
        <v>1.1549</v>
      </c>
      <c r="O22" s="58"/>
    </row>
    <row r="23" spans="2:15" x14ac:dyDescent="0.2">
      <c r="B23" t="s">
        <v>324</v>
      </c>
      <c r="C23" s="433"/>
      <c r="D23" s="433"/>
      <c r="E23" s="436">
        <v>1.01</v>
      </c>
      <c r="F23" s="433"/>
      <c r="G23" s="433"/>
      <c r="H23" s="433"/>
      <c r="I23" s="433"/>
      <c r="J23" s="434"/>
      <c r="K23" s="435"/>
      <c r="L23" s="433"/>
      <c r="M23" s="433"/>
      <c r="N23" s="436">
        <v>1.01</v>
      </c>
      <c r="O23" s="58"/>
    </row>
    <row r="24" spans="2:15" x14ac:dyDescent="0.2">
      <c r="C24" s="58">
        <f>+C15+C8</f>
        <v>126.66973419999999</v>
      </c>
      <c r="D24" s="58"/>
      <c r="E24" s="58">
        <f>+E15+E8</f>
        <v>119.39023420000001</v>
      </c>
      <c r="F24" s="58"/>
      <c r="G24" s="58">
        <f>+G15+G8</f>
        <v>120.25574295360001</v>
      </c>
      <c r="I24" s="58"/>
      <c r="J24" s="414">
        <f>+J15+J8</f>
        <v>120.0557429536</v>
      </c>
      <c r="K24" s="412"/>
      <c r="L24" s="58">
        <f>+L15+L8</f>
        <v>136.21416590647766</v>
      </c>
      <c r="M24" s="58"/>
      <c r="N24" s="58">
        <f>+N15+N8</f>
        <v>124.4837342</v>
      </c>
      <c r="O24" s="58"/>
    </row>
    <row r="25" spans="2:15" x14ac:dyDescent="0.2">
      <c r="C25" s="58"/>
      <c r="D25" s="58"/>
      <c r="E25" s="58"/>
      <c r="F25" s="58"/>
      <c r="G25" s="58"/>
      <c r="I25" s="58"/>
      <c r="J25" s="414"/>
      <c r="K25" s="412"/>
      <c r="L25" s="58"/>
      <c r="M25" s="58"/>
      <c r="N25" s="58"/>
      <c r="O25" s="58"/>
    </row>
    <row r="26" spans="2:15" x14ac:dyDescent="0.2">
      <c r="C26" s="58"/>
      <c r="D26" s="58"/>
      <c r="E26" s="58">
        <f>+E18+E21</f>
        <v>31.307399999999994</v>
      </c>
      <c r="F26" s="58"/>
      <c r="G26" s="58">
        <f>+G18+G21</f>
        <v>31.988684203680002</v>
      </c>
      <c r="I26" s="58"/>
      <c r="J26" s="414"/>
      <c r="K26" s="412"/>
      <c r="L26" s="58"/>
      <c r="M26" s="58"/>
      <c r="N26" s="58"/>
      <c r="O26" s="58"/>
    </row>
    <row r="27" spans="2:15" x14ac:dyDescent="0.2">
      <c r="B27" s="160" t="s">
        <v>325</v>
      </c>
      <c r="C27" s="58"/>
      <c r="D27" s="58"/>
      <c r="E27" s="58"/>
      <c r="F27" s="58"/>
      <c r="G27" s="58"/>
      <c r="H27" s="160"/>
      <c r="I27" s="58"/>
      <c r="J27" s="414"/>
      <c r="K27" s="421"/>
      <c r="L27" s="58"/>
      <c r="M27" s="58"/>
      <c r="N27" s="58"/>
      <c r="O27" s="58"/>
    </row>
    <row r="28" spans="2:15" x14ac:dyDescent="0.2">
      <c r="B28" t="s">
        <v>326</v>
      </c>
      <c r="C28" s="58">
        <f>+C17+C10+C18</f>
        <v>113.1597342</v>
      </c>
      <c r="D28" s="58"/>
      <c r="E28" s="58">
        <f>+E17+E10+E18</f>
        <v>106.50023419999999</v>
      </c>
      <c r="F28" s="58"/>
      <c r="G28" s="58">
        <f>+G17+G10+G18</f>
        <v>105.2009832</v>
      </c>
      <c r="I28" s="58"/>
      <c r="J28" s="414">
        <f>+J17+J10+J18</f>
        <v>105.2009832</v>
      </c>
      <c r="K28" s="412"/>
      <c r="L28" s="58">
        <f>+L17+L10+L18</f>
        <v>111.58923469019608</v>
      </c>
      <c r="M28" s="58"/>
      <c r="N28" s="58">
        <f>+N17+N10+N18</f>
        <v>105.6512342</v>
      </c>
      <c r="O28" s="58"/>
    </row>
    <row r="29" spans="2:15" x14ac:dyDescent="0.2">
      <c r="B29" t="s">
        <v>321</v>
      </c>
      <c r="C29" s="58">
        <f>+C20</f>
        <v>2.6</v>
      </c>
      <c r="D29" s="58"/>
      <c r="E29" s="58">
        <f>+E20+E11+E23</f>
        <v>7.55</v>
      </c>
      <c r="F29" s="58"/>
      <c r="G29" s="58">
        <f>+G20</f>
        <v>2.7</v>
      </c>
      <c r="I29" s="58"/>
      <c r="J29" s="414">
        <f>+J20</f>
        <v>2.5</v>
      </c>
      <c r="K29" s="412"/>
      <c r="L29" s="58">
        <f>+L20</f>
        <v>2.6</v>
      </c>
      <c r="M29" s="58"/>
      <c r="N29" s="58">
        <f>+N20+N11+N23</f>
        <v>15.06</v>
      </c>
      <c r="O29" s="58"/>
    </row>
    <row r="30" spans="2:15" x14ac:dyDescent="0.2">
      <c r="B30" t="s">
        <v>327</v>
      </c>
      <c r="C30" s="58">
        <f>+C11+C21+C22</f>
        <v>10.91</v>
      </c>
      <c r="D30" s="58"/>
      <c r="E30" s="58">
        <f>+E21+E22</f>
        <v>5.34</v>
      </c>
      <c r="F30" s="58"/>
      <c r="G30" s="58">
        <f>+G11+G21+G22</f>
        <v>12.3547597536</v>
      </c>
      <c r="I30" s="58"/>
      <c r="J30" s="414">
        <f>+J11+J21+J22</f>
        <v>12.3547597536</v>
      </c>
      <c r="K30" s="412"/>
      <c r="L30" s="58">
        <f>+L11+L21+L22</f>
        <v>22.024931216281598</v>
      </c>
      <c r="M30" s="58"/>
      <c r="N30" s="58">
        <f>+N21+N22</f>
        <v>3.7725</v>
      </c>
      <c r="O30" s="58"/>
    </row>
    <row r="31" spans="2:15" ht="13.5" thickBot="1" x14ac:dyDescent="0.25">
      <c r="C31" s="58">
        <f>SUM(C28:C30)</f>
        <v>126.66973419999999</v>
      </c>
      <c r="E31" s="58">
        <f>SUM(E28:E30)</f>
        <v>119.39023419999999</v>
      </c>
      <c r="G31" s="58">
        <f>SUM(G28:G30)</f>
        <v>120.25574295359999</v>
      </c>
      <c r="J31" s="422">
        <f>SUM(J28:J30)</f>
        <v>120.0557429536</v>
      </c>
      <c r="K31" s="423"/>
      <c r="L31" s="58">
        <f>SUM(L28:L30)</f>
        <v>136.21416590647766</v>
      </c>
      <c r="N31" s="58">
        <f>SUM(N28:N30)</f>
        <v>124.4837342</v>
      </c>
    </row>
    <row r="32" spans="2:15" ht="13.5" thickTop="1" x14ac:dyDescent="0.2"/>
    <row r="33" spans="2:3" x14ac:dyDescent="0.2">
      <c r="B33" s="247"/>
    </row>
    <row r="35" spans="2:3" x14ac:dyDescent="0.2">
      <c r="B35" s="348" t="s">
        <v>328</v>
      </c>
      <c r="C35" s="431"/>
    </row>
    <row r="36" spans="2:3" x14ac:dyDescent="0.2">
      <c r="B36" s="432">
        <f>+'Top Level'!N58</f>
        <v>3216000</v>
      </c>
      <c r="C36" s="348"/>
    </row>
    <row r="37" spans="2:3" x14ac:dyDescent="0.2">
      <c r="B37" s="348" t="s">
        <v>329</v>
      </c>
      <c r="C37" s="348"/>
    </row>
    <row r="38" spans="2:3" x14ac:dyDescent="0.2">
      <c r="B38" s="432">
        <f>+PCA!L93</f>
        <v>1051200</v>
      </c>
      <c r="C38" s="348"/>
    </row>
  </sheetData>
  <printOptions gridLines="1" gridLinesSet="0"/>
  <pageMargins left="0.75" right="0.75" top="1" bottom="1" header="0.511811024" footer="0.511811024"/>
  <pageSetup scale="88" orientation="landscape" horizontalDpi="4294967293" verticalDpi="150" r:id="rId1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tabSelected="1" topLeftCell="A34" zoomScale="75" workbookViewId="0">
      <selection activeCell="R66" sqref="R66"/>
    </sheetView>
  </sheetViews>
  <sheetFormatPr baseColWidth="10" defaultRowHeight="12.75" x14ac:dyDescent="0.2"/>
  <cols>
    <col min="1" max="1" width="11.42578125" customWidth="1"/>
    <col min="2" max="2" width="18.42578125" customWidth="1"/>
    <col min="3" max="3" width="26.28515625" customWidth="1"/>
    <col min="4" max="9" width="11.42578125" customWidth="1"/>
    <col min="10" max="11" width="13.140625" customWidth="1"/>
    <col min="12" max="12" width="15.5703125" customWidth="1"/>
    <col min="13" max="14" width="13.140625" customWidth="1"/>
  </cols>
  <sheetData>
    <row r="1" spans="1:14" x14ac:dyDescent="0.2">
      <c r="C1" s="186"/>
    </row>
    <row r="2" spans="1:14" ht="15.75" x14ac:dyDescent="0.25">
      <c r="A2" s="187" t="s">
        <v>330</v>
      </c>
      <c r="B2" s="187"/>
      <c r="C2" s="187"/>
      <c r="D2" s="187"/>
      <c r="E2" s="188"/>
      <c r="F2" s="188"/>
      <c r="G2" s="188"/>
      <c r="H2" s="188"/>
      <c r="I2" s="188"/>
      <c r="J2" s="188"/>
      <c r="K2" s="188"/>
      <c r="L2" s="188"/>
      <c r="M2" s="188"/>
      <c r="N2" s="188"/>
    </row>
    <row r="3" spans="1:14" ht="15.75" x14ac:dyDescent="0.25">
      <c r="A3" s="187" t="s">
        <v>331</v>
      </c>
      <c r="B3" s="187"/>
      <c r="C3" s="187"/>
      <c r="D3" s="187"/>
      <c r="E3" s="188"/>
      <c r="F3" s="188"/>
      <c r="G3" s="188"/>
      <c r="H3" s="188"/>
      <c r="I3" s="188"/>
      <c r="J3" s="189"/>
      <c r="K3" s="188"/>
      <c r="L3" s="188"/>
      <c r="M3" s="188"/>
      <c r="N3" s="188"/>
    </row>
    <row r="4" spans="1:14" ht="15.75" x14ac:dyDescent="0.25">
      <c r="A4" s="187" t="s">
        <v>332</v>
      </c>
      <c r="B4" s="187"/>
      <c r="C4" s="187"/>
      <c r="D4" s="187"/>
      <c r="E4" s="188"/>
      <c r="F4" s="188"/>
      <c r="G4" s="188"/>
      <c r="H4" s="188"/>
      <c r="I4" s="188"/>
      <c r="J4" s="190"/>
      <c r="K4" s="188"/>
      <c r="L4" s="188"/>
      <c r="M4" s="188"/>
      <c r="N4" s="188"/>
    </row>
    <row r="5" spans="1:14" ht="16.5" thickBot="1" x14ac:dyDescent="0.3">
      <c r="A5" s="191" t="s">
        <v>333</v>
      </c>
      <c r="B5" s="187"/>
      <c r="C5" s="187"/>
      <c r="D5" s="192" t="s">
        <v>334</v>
      </c>
      <c r="E5" s="192" t="s">
        <v>335</v>
      </c>
      <c r="F5" s="400" t="s">
        <v>336</v>
      </c>
      <c r="G5" s="192" t="s">
        <v>337</v>
      </c>
      <c r="H5" s="192" t="s">
        <v>338</v>
      </c>
      <c r="I5" s="188"/>
      <c r="J5" s="193" t="s">
        <v>334</v>
      </c>
      <c r="K5" s="192" t="s">
        <v>335</v>
      </c>
      <c r="L5" s="400" t="s">
        <v>336</v>
      </c>
      <c r="M5" s="192" t="s">
        <v>337</v>
      </c>
      <c r="N5" s="192" t="s">
        <v>338</v>
      </c>
    </row>
    <row r="6" spans="1:14" ht="17.25" thickTop="1" thickBot="1" x14ac:dyDescent="0.3">
      <c r="A6" s="194" t="s">
        <v>339</v>
      </c>
      <c r="B6" s="195" t="s">
        <v>340</v>
      </c>
      <c r="C6" s="194" t="s">
        <v>11</v>
      </c>
      <c r="D6" s="194" t="s">
        <v>341</v>
      </c>
      <c r="E6" s="194" t="s">
        <v>341</v>
      </c>
      <c r="F6" s="194" t="s">
        <v>341</v>
      </c>
      <c r="G6" s="194" t="s">
        <v>341</v>
      </c>
      <c r="H6" s="194" t="s">
        <v>341</v>
      </c>
      <c r="I6" s="194" t="s">
        <v>342</v>
      </c>
      <c r="J6" s="196" t="s">
        <v>343</v>
      </c>
      <c r="K6" s="196" t="s">
        <v>343</v>
      </c>
      <c r="L6" s="196" t="s">
        <v>343</v>
      </c>
      <c r="M6" s="196" t="s">
        <v>343</v>
      </c>
      <c r="N6" s="196" t="s">
        <v>343</v>
      </c>
    </row>
    <row r="7" spans="1:14" ht="16.5" thickTop="1" x14ac:dyDescent="0.25">
      <c r="A7" s="197">
        <v>1</v>
      </c>
      <c r="B7" s="198" t="s">
        <v>22</v>
      </c>
      <c r="C7" s="199" t="s">
        <v>344</v>
      </c>
      <c r="D7" s="200">
        <v>3.4000000000000002E-2</v>
      </c>
      <c r="E7" s="200">
        <v>3.4000000000000002E-2</v>
      </c>
      <c r="F7" s="200">
        <v>3.4000000000000002E-2</v>
      </c>
      <c r="G7" s="200">
        <v>3.4000000000000002E-2</v>
      </c>
      <c r="H7" s="200">
        <v>3.4000000000000002E-2</v>
      </c>
      <c r="I7" s="201">
        <v>2</v>
      </c>
      <c r="J7" s="202">
        <f>I7*D7</f>
        <v>6.8000000000000005E-2</v>
      </c>
      <c r="K7" s="203">
        <f t="shared" ref="K7:K22" si="0">E7*I7</f>
        <v>6.8000000000000005E-2</v>
      </c>
      <c r="L7" s="202">
        <f t="shared" ref="L7:L23" si="1">F7*I7</f>
        <v>6.8000000000000005E-2</v>
      </c>
      <c r="M7" s="203">
        <f t="shared" ref="M7:M22" si="2">G7*I7</f>
        <v>6.8000000000000005E-2</v>
      </c>
      <c r="N7" s="204">
        <f t="shared" ref="N7:N22" si="3">H7*I7</f>
        <v>6.8000000000000005E-2</v>
      </c>
    </row>
    <row r="8" spans="1:14" ht="15.75" x14ac:dyDescent="0.25">
      <c r="A8" s="205">
        <v>2</v>
      </c>
      <c r="B8" s="199" t="s">
        <v>89</v>
      </c>
      <c r="C8" s="199" t="s">
        <v>345</v>
      </c>
      <c r="D8" s="200">
        <v>14.64</v>
      </c>
      <c r="E8" s="200">
        <v>14.64</v>
      </c>
      <c r="F8" s="200">
        <v>14.64</v>
      </c>
      <c r="G8" s="200">
        <v>14.64</v>
      </c>
      <c r="H8" s="200">
        <v>14.64</v>
      </c>
      <c r="I8" s="201">
        <v>1</v>
      </c>
      <c r="J8" s="202">
        <f t="shared" ref="J7:J22" si="4">I8*D8</f>
        <v>14.64</v>
      </c>
      <c r="K8" s="203">
        <f t="shared" si="0"/>
        <v>14.64</v>
      </c>
      <c r="L8" s="202">
        <f t="shared" si="1"/>
        <v>14.64</v>
      </c>
      <c r="M8" s="203">
        <f t="shared" si="2"/>
        <v>14.64</v>
      </c>
      <c r="N8" s="204">
        <f t="shared" si="3"/>
        <v>14.64</v>
      </c>
    </row>
    <row r="9" spans="1:14" ht="15.75" x14ac:dyDescent="0.25">
      <c r="A9" s="205">
        <v>3</v>
      </c>
      <c r="B9" s="198" t="s">
        <v>94</v>
      </c>
      <c r="C9" s="198" t="s">
        <v>346</v>
      </c>
      <c r="D9" s="200">
        <v>2.5000000000000001E-2</v>
      </c>
      <c r="E9" s="200">
        <v>2.5000000000000001E-2</v>
      </c>
      <c r="F9" s="200">
        <v>2.5000000000000001E-2</v>
      </c>
      <c r="G9" s="200">
        <v>2.5000000000000001E-2</v>
      </c>
      <c r="H9" s="200">
        <v>2.5000000000000001E-2</v>
      </c>
      <c r="I9" s="201">
        <v>1</v>
      </c>
      <c r="J9" s="202">
        <f t="shared" si="4"/>
        <v>2.5000000000000001E-2</v>
      </c>
      <c r="K9" s="203">
        <f t="shared" si="0"/>
        <v>2.5000000000000001E-2</v>
      </c>
      <c r="L9" s="202">
        <f t="shared" si="1"/>
        <v>2.5000000000000001E-2</v>
      </c>
      <c r="M9" s="203">
        <f t="shared" si="2"/>
        <v>2.5000000000000001E-2</v>
      </c>
      <c r="N9" s="204">
        <f t="shared" si="3"/>
        <v>2.5000000000000001E-2</v>
      </c>
    </row>
    <row r="10" spans="1:14" ht="15.75" x14ac:dyDescent="0.25">
      <c r="A10" s="205">
        <v>4</v>
      </c>
      <c r="B10" s="199" t="s">
        <v>25</v>
      </c>
      <c r="C10" s="199" t="s">
        <v>347</v>
      </c>
      <c r="D10" s="200">
        <v>7.17E-2</v>
      </c>
      <c r="E10" s="200">
        <v>7.17E-2</v>
      </c>
      <c r="F10" s="200">
        <v>7.17E-2</v>
      </c>
      <c r="G10" s="200">
        <v>7.17E-2</v>
      </c>
      <c r="H10" s="200">
        <v>7.17E-2</v>
      </c>
      <c r="I10" s="201">
        <f>1+4</f>
        <v>5</v>
      </c>
      <c r="J10" s="202">
        <f t="shared" si="4"/>
        <v>0.35849999999999999</v>
      </c>
      <c r="K10" s="203">
        <f t="shared" si="0"/>
        <v>0.35849999999999999</v>
      </c>
      <c r="L10" s="202">
        <f t="shared" si="1"/>
        <v>0.35849999999999999</v>
      </c>
      <c r="M10" s="203">
        <f t="shared" si="2"/>
        <v>0.35849999999999999</v>
      </c>
      <c r="N10" s="204">
        <f t="shared" si="3"/>
        <v>0.35849999999999999</v>
      </c>
    </row>
    <row r="11" spans="1:14" ht="15.75" x14ac:dyDescent="0.25">
      <c r="A11" s="205">
        <v>5</v>
      </c>
      <c r="B11" s="198" t="s">
        <v>92</v>
      </c>
      <c r="C11" s="198" t="s">
        <v>348</v>
      </c>
      <c r="D11" s="200">
        <v>3.1E-2</v>
      </c>
      <c r="E11" s="200">
        <v>3.1E-2</v>
      </c>
      <c r="F11" s="200">
        <v>3.1E-2</v>
      </c>
      <c r="G11" s="200">
        <v>3.1E-2</v>
      </c>
      <c r="H11" s="200">
        <v>3.1E-2</v>
      </c>
      <c r="I11" s="201">
        <v>4</v>
      </c>
      <c r="J11" s="202">
        <f t="shared" si="4"/>
        <v>0.124</v>
      </c>
      <c r="K11" s="203">
        <f t="shared" si="0"/>
        <v>0.124</v>
      </c>
      <c r="L11" s="202">
        <f t="shared" si="1"/>
        <v>0.124</v>
      </c>
      <c r="M11" s="203">
        <f t="shared" si="2"/>
        <v>0.124</v>
      </c>
      <c r="N11" s="204">
        <f t="shared" si="3"/>
        <v>0.124</v>
      </c>
    </row>
    <row r="12" spans="1:14" ht="15.75" x14ac:dyDescent="0.25">
      <c r="A12" s="205">
        <v>7</v>
      </c>
      <c r="B12" s="199" t="s">
        <v>98</v>
      </c>
      <c r="C12" s="199" t="s">
        <v>349</v>
      </c>
      <c r="D12" s="200">
        <v>0.88200000000000001</v>
      </c>
      <c r="E12" s="200">
        <v>0.88200000000000001</v>
      </c>
      <c r="F12" s="200">
        <v>0.88200000000000001</v>
      </c>
      <c r="G12" s="200">
        <v>0.88200000000000001</v>
      </c>
      <c r="H12" s="200">
        <v>0.88200000000000001</v>
      </c>
      <c r="I12" s="201">
        <v>1</v>
      </c>
      <c r="J12" s="202">
        <f t="shared" si="4"/>
        <v>0.88200000000000001</v>
      </c>
      <c r="K12" s="203">
        <f t="shared" si="0"/>
        <v>0.88200000000000001</v>
      </c>
      <c r="L12" s="202">
        <f t="shared" si="1"/>
        <v>0.88200000000000001</v>
      </c>
      <c r="M12" s="203">
        <f t="shared" si="2"/>
        <v>0.88200000000000001</v>
      </c>
      <c r="N12" s="204">
        <f t="shared" si="3"/>
        <v>0.88200000000000001</v>
      </c>
    </row>
    <row r="13" spans="1:14" ht="15.75" x14ac:dyDescent="0.25">
      <c r="A13" s="205">
        <v>8</v>
      </c>
      <c r="B13" s="199" t="s">
        <v>28</v>
      </c>
      <c r="C13" s="199" t="s">
        <v>29</v>
      </c>
      <c r="D13" s="200">
        <v>2.7E-2</v>
      </c>
      <c r="E13" s="200">
        <v>2.7E-2</v>
      </c>
      <c r="F13" s="200">
        <v>2.7E-2</v>
      </c>
      <c r="G13" s="200">
        <v>2.7E-2</v>
      </c>
      <c r="H13" s="200">
        <v>2.7E-2</v>
      </c>
      <c r="I13" s="201">
        <v>1</v>
      </c>
      <c r="J13" s="202">
        <f t="shared" si="4"/>
        <v>2.7E-2</v>
      </c>
      <c r="K13" s="203">
        <f t="shared" si="0"/>
        <v>2.7E-2</v>
      </c>
      <c r="L13" s="202">
        <f t="shared" si="1"/>
        <v>2.7E-2</v>
      </c>
      <c r="M13" s="203">
        <f t="shared" si="2"/>
        <v>2.7E-2</v>
      </c>
      <c r="N13" s="204">
        <f t="shared" si="3"/>
        <v>2.7E-2</v>
      </c>
    </row>
    <row r="14" spans="1:14" ht="15.75" x14ac:dyDescent="0.25">
      <c r="A14" s="205">
        <v>9</v>
      </c>
      <c r="B14" s="199" t="s">
        <v>61</v>
      </c>
      <c r="C14" s="199" t="s">
        <v>62</v>
      </c>
      <c r="D14" s="200">
        <v>0.108</v>
      </c>
      <c r="E14" s="200">
        <v>0.108</v>
      </c>
      <c r="F14" s="200">
        <v>0.108</v>
      </c>
      <c r="G14" s="200">
        <v>0.108</v>
      </c>
      <c r="H14" s="200">
        <v>0.108</v>
      </c>
      <c r="I14" s="201">
        <v>1</v>
      </c>
      <c r="J14" s="202">
        <f t="shared" si="4"/>
        <v>0.108</v>
      </c>
      <c r="K14" s="203">
        <f t="shared" si="0"/>
        <v>0.108</v>
      </c>
      <c r="L14" s="202">
        <f t="shared" si="1"/>
        <v>0.108</v>
      </c>
      <c r="M14" s="203">
        <f t="shared" si="2"/>
        <v>0.108</v>
      </c>
      <c r="N14" s="204">
        <f t="shared" si="3"/>
        <v>0.108</v>
      </c>
    </row>
    <row r="15" spans="1:14" ht="15.75" x14ac:dyDescent="0.25">
      <c r="A15" s="205">
        <v>10</v>
      </c>
      <c r="B15" s="199" t="s">
        <v>101</v>
      </c>
      <c r="C15" s="199" t="s">
        <v>350</v>
      </c>
      <c r="D15" s="200">
        <v>9.9000000000000005E-2</v>
      </c>
      <c r="E15" s="200">
        <v>9.9000000000000005E-2</v>
      </c>
      <c r="F15" s="200">
        <v>9.9000000000000005E-2</v>
      </c>
      <c r="G15" s="200">
        <v>9.9000000000000005E-2</v>
      </c>
      <c r="H15" s="200">
        <v>9.9000000000000005E-2</v>
      </c>
      <c r="I15" s="201">
        <v>1.5748</v>
      </c>
      <c r="J15" s="202">
        <f t="shared" si="4"/>
        <v>0.15590519999999999</v>
      </c>
      <c r="K15" s="203">
        <f t="shared" si="0"/>
        <v>0.15590519999999999</v>
      </c>
      <c r="L15" s="202">
        <f t="shared" si="1"/>
        <v>0.15590519999999999</v>
      </c>
      <c r="M15" s="203">
        <f t="shared" si="2"/>
        <v>0.15590519999999999</v>
      </c>
      <c r="N15" s="204">
        <f t="shared" si="3"/>
        <v>0.15590519999999999</v>
      </c>
    </row>
    <row r="16" spans="1:14" ht="15.75" x14ac:dyDescent="0.25">
      <c r="A16" s="205">
        <v>11</v>
      </c>
      <c r="B16" s="199" t="s">
        <v>68</v>
      </c>
      <c r="C16" s="199" t="s">
        <v>69</v>
      </c>
      <c r="D16" s="200">
        <v>0.52</v>
      </c>
      <c r="E16" s="200">
        <v>0.193</v>
      </c>
      <c r="F16" s="200">
        <v>0.193</v>
      </c>
      <c r="G16" s="200">
        <v>0.193</v>
      </c>
      <c r="H16" s="200">
        <v>0.193</v>
      </c>
      <c r="I16" s="201">
        <v>1</v>
      </c>
      <c r="J16" s="202">
        <f t="shared" si="4"/>
        <v>0.52</v>
      </c>
      <c r="K16" s="203">
        <f t="shared" si="0"/>
        <v>0.193</v>
      </c>
      <c r="L16" s="202">
        <f t="shared" si="1"/>
        <v>0.193</v>
      </c>
      <c r="M16" s="203">
        <f t="shared" si="2"/>
        <v>0.193</v>
      </c>
      <c r="N16" s="204">
        <f t="shared" si="3"/>
        <v>0.193</v>
      </c>
    </row>
    <row r="17" spans="1:14" ht="15.75" x14ac:dyDescent="0.25">
      <c r="A17" s="205">
        <v>12</v>
      </c>
      <c r="B17" s="199" t="s">
        <v>103</v>
      </c>
      <c r="C17" s="199" t="s">
        <v>351</v>
      </c>
      <c r="D17" s="200">
        <v>8.86</v>
      </c>
      <c r="E17" s="200">
        <v>8.86</v>
      </c>
      <c r="F17" s="200">
        <v>8.86</v>
      </c>
      <c r="G17" s="200">
        <v>8.86</v>
      </c>
      <c r="H17" s="200">
        <v>8.86</v>
      </c>
      <c r="I17" s="201">
        <v>1</v>
      </c>
      <c r="J17" s="202">
        <f t="shared" si="4"/>
        <v>8.86</v>
      </c>
      <c r="K17" s="203">
        <f t="shared" si="0"/>
        <v>8.86</v>
      </c>
      <c r="L17" s="202">
        <f t="shared" si="1"/>
        <v>8.86</v>
      </c>
      <c r="M17" s="203">
        <f t="shared" si="2"/>
        <v>8.86</v>
      </c>
      <c r="N17" s="204">
        <f t="shared" si="3"/>
        <v>8.86</v>
      </c>
    </row>
    <row r="18" spans="1:14" ht="15.75" x14ac:dyDescent="0.25">
      <c r="A18" s="205">
        <v>13</v>
      </c>
      <c r="B18" s="199" t="s">
        <v>107</v>
      </c>
      <c r="C18" s="199" t="s">
        <v>352</v>
      </c>
      <c r="D18" s="200">
        <v>0.60599999999999998</v>
      </c>
      <c r="E18" s="200">
        <v>0.60599999999999998</v>
      </c>
      <c r="F18" s="200">
        <v>0.60599999999999998</v>
      </c>
      <c r="G18" s="200">
        <v>0.60599999999999998</v>
      </c>
      <c r="H18" s="200">
        <v>0.60599999999999998</v>
      </c>
      <c r="I18" s="201">
        <v>1</v>
      </c>
      <c r="J18" s="202">
        <f t="shared" si="4"/>
        <v>0.60599999999999998</v>
      </c>
      <c r="K18" s="203">
        <f t="shared" si="0"/>
        <v>0.60599999999999998</v>
      </c>
      <c r="L18" s="202">
        <f t="shared" si="1"/>
        <v>0.60599999999999998</v>
      </c>
      <c r="M18" s="203">
        <f t="shared" si="2"/>
        <v>0.60599999999999998</v>
      </c>
      <c r="N18" s="204">
        <f t="shared" si="3"/>
        <v>0.60599999999999998</v>
      </c>
    </row>
    <row r="19" spans="1:14" ht="15.75" x14ac:dyDescent="0.25">
      <c r="A19" s="205">
        <v>14</v>
      </c>
      <c r="B19" s="199" t="s">
        <v>31</v>
      </c>
      <c r="C19" s="199" t="s">
        <v>32</v>
      </c>
      <c r="D19" s="200">
        <v>0.33</v>
      </c>
      <c r="E19" s="200">
        <v>0.33</v>
      </c>
      <c r="F19" s="200">
        <v>0.33</v>
      </c>
      <c r="G19" s="200">
        <v>0.33</v>
      </c>
      <c r="H19" s="200">
        <v>0.33</v>
      </c>
      <c r="I19" s="201">
        <v>1</v>
      </c>
      <c r="J19" s="202">
        <f t="shared" si="4"/>
        <v>0.33</v>
      </c>
      <c r="K19" s="203">
        <f t="shared" si="0"/>
        <v>0.33</v>
      </c>
      <c r="L19" s="202">
        <f t="shared" si="1"/>
        <v>0.33</v>
      </c>
      <c r="M19" s="203">
        <f t="shared" si="2"/>
        <v>0.33</v>
      </c>
      <c r="N19" s="204">
        <f t="shared" si="3"/>
        <v>0.33</v>
      </c>
    </row>
    <row r="20" spans="1:14" ht="15.75" x14ac:dyDescent="0.25">
      <c r="A20" s="205">
        <v>15</v>
      </c>
      <c r="B20" s="199" t="s">
        <v>35</v>
      </c>
      <c r="C20" s="199" t="s">
        <v>353</v>
      </c>
      <c r="D20" s="200">
        <v>0.56999999999999995</v>
      </c>
      <c r="E20" s="200">
        <v>0.56999999999999995</v>
      </c>
      <c r="F20" s="200">
        <v>0.56999999999999995</v>
      </c>
      <c r="G20" s="200">
        <v>0.56999999999999995</v>
      </c>
      <c r="H20" s="200">
        <v>0.56999999999999995</v>
      </c>
      <c r="I20" s="201">
        <v>1</v>
      </c>
      <c r="J20" s="202">
        <f t="shared" si="4"/>
        <v>0.56999999999999995</v>
      </c>
      <c r="K20" s="203">
        <f t="shared" si="0"/>
        <v>0.56999999999999995</v>
      </c>
      <c r="L20" s="202">
        <f t="shared" si="1"/>
        <v>0.56999999999999995</v>
      </c>
      <c r="M20" s="203">
        <f t="shared" si="2"/>
        <v>0.56999999999999995</v>
      </c>
      <c r="N20" s="204">
        <f t="shared" si="3"/>
        <v>0.56999999999999995</v>
      </c>
    </row>
    <row r="21" spans="1:14" ht="15.75" x14ac:dyDescent="0.25">
      <c r="A21" s="205">
        <v>16</v>
      </c>
      <c r="B21" s="199" t="s">
        <v>79</v>
      </c>
      <c r="C21" s="199" t="s">
        <v>80</v>
      </c>
      <c r="D21" s="200">
        <v>1.79</v>
      </c>
      <c r="E21" s="200">
        <v>1.79</v>
      </c>
      <c r="F21" s="200">
        <v>1.79</v>
      </c>
      <c r="G21" s="200">
        <v>1.79</v>
      </c>
      <c r="H21" s="200">
        <v>1.79</v>
      </c>
      <c r="I21" s="201">
        <v>1</v>
      </c>
      <c r="J21" s="202">
        <f t="shared" si="4"/>
        <v>1.79</v>
      </c>
      <c r="K21" s="203">
        <f t="shared" si="0"/>
        <v>1.79</v>
      </c>
      <c r="L21" s="202">
        <f t="shared" si="1"/>
        <v>1.79</v>
      </c>
      <c r="M21" s="203">
        <f t="shared" si="2"/>
        <v>1.79</v>
      </c>
      <c r="N21" s="204">
        <f t="shared" si="3"/>
        <v>1.79</v>
      </c>
    </row>
    <row r="22" spans="1:14" ht="15.75" x14ac:dyDescent="0.25">
      <c r="A22" s="205">
        <v>17</v>
      </c>
      <c r="B22" s="199" t="s">
        <v>109</v>
      </c>
      <c r="C22" s="199" t="s">
        <v>354</v>
      </c>
      <c r="D22" s="200">
        <v>0.31</v>
      </c>
      <c r="E22" s="200">
        <v>0.31</v>
      </c>
      <c r="F22" s="200">
        <v>0.31</v>
      </c>
      <c r="G22" s="200">
        <v>0.31</v>
      </c>
      <c r="H22" s="200">
        <v>0.31</v>
      </c>
      <c r="I22" s="201">
        <v>1</v>
      </c>
      <c r="J22" s="202">
        <f t="shared" si="4"/>
        <v>0.31</v>
      </c>
      <c r="K22" s="203">
        <f t="shared" si="0"/>
        <v>0.31</v>
      </c>
      <c r="L22" s="202">
        <f t="shared" si="1"/>
        <v>0.31</v>
      </c>
      <c r="M22" s="203">
        <f t="shared" si="2"/>
        <v>0.31</v>
      </c>
      <c r="N22" s="204">
        <f t="shared" si="3"/>
        <v>0.31</v>
      </c>
    </row>
    <row r="23" spans="1:14" ht="15.75" x14ac:dyDescent="0.25">
      <c r="A23" s="205">
        <v>18</v>
      </c>
      <c r="B23" s="199" t="s">
        <v>111</v>
      </c>
      <c r="C23" s="199" t="s">
        <v>355</v>
      </c>
      <c r="D23" s="200">
        <v>0.59699999999999998</v>
      </c>
      <c r="E23" s="200">
        <v>0.59699999999999998</v>
      </c>
      <c r="F23" s="200">
        <v>0.59699999999999998</v>
      </c>
      <c r="G23" s="200">
        <v>0.55000000000000004</v>
      </c>
      <c r="H23" s="200">
        <v>0.55000000000000004</v>
      </c>
      <c r="I23" s="201">
        <v>1</v>
      </c>
      <c r="J23" s="202">
        <f t="shared" ref="J23:J38" si="5">I23*D23</f>
        <v>0.59699999999999998</v>
      </c>
      <c r="K23" s="203">
        <f t="shared" ref="K23:K38" si="6">E23*I23</f>
        <v>0.59699999999999998</v>
      </c>
      <c r="L23" s="202">
        <f t="shared" si="1"/>
        <v>0.59699999999999998</v>
      </c>
      <c r="M23" s="203">
        <f t="shared" ref="M23:M38" si="7">G23*I23</f>
        <v>0.55000000000000004</v>
      </c>
      <c r="N23" s="204">
        <f t="shared" ref="N23:N38" si="8">H23*I23</f>
        <v>0.55000000000000004</v>
      </c>
    </row>
    <row r="24" spans="1:14" ht="15.75" x14ac:dyDescent="0.25">
      <c r="A24" s="205">
        <v>19</v>
      </c>
      <c r="B24" s="199" t="s">
        <v>114</v>
      </c>
      <c r="C24" s="199" t="s">
        <v>356</v>
      </c>
      <c r="D24" s="200">
        <v>0.59699999999999998</v>
      </c>
      <c r="E24" s="200">
        <v>0.59499999999999997</v>
      </c>
      <c r="F24" s="200">
        <v>0.59499999999999997</v>
      </c>
      <c r="G24" s="200">
        <v>0.55000000000000004</v>
      </c>
      <c r="H24" s="200">
        <v>0.55000000000000004</v>
      </c>
      <c r="I24" s="201">
        <v>1</v>
      </c>
      <c r="J24" s="202">
        <f t="shared" si="5"/>
        <v>0.59699999999999998</v>
      </c>
      <c r="K24" s="203">
        <f t="shared" si="6"/>
        <v>0.59499999999999997</v>
      </c>
      <c r="L24" s="202">
        <f t="shared" ref="L24:L38" si="9">F24*I24</f>
        <v>0.59499999999999997</v>
      </c>
      <c r="M24" s="203">
        <f t="shared" si="7"/>
        <v>0.55000000000000004</v>
      </c>
      <c r="N24" s="204">
        <f t="shared" si="8"/>
        <v>0.55000000000000004</v>
      </c>
    </row>
    <row r="25" spans="1:14" ht="15.75" x14ac:dyDescent="0.25">
      <c r="A25" s="205">
        <v>20</v>
      </c>
      <c r="B25" s="198" t="s">
        <v>116</v>
      </c>
      <c r="C25" s="198" t="s">
        <v>357</v>
      </c>
      <c r="D25" s="200">
        <v>0.51700000000000002</v>
      </c>
      <c r="E25" s="200">
        <v>0.51700000000000002</v>
      </c>
      <c r="F25" s="200">
        <v>0.51700000000000002</v>
      </c>
      <c r="G25" s="200">
        <v>0.42799999999999999</v>
      </c>
      <c r="H25" s="200">
        <v>0.42799999999999999</v>
      </c>
      <c r="I25" s="201">
        <v>1</v>
      </c>
      <c r="J25" s="202">
        <f t="shared" si="5"/>
        <v>0.51700000000000002</v>
      </c>
      <c r="K25" s="203">
        <f t="shared" si="6"/>
        <v>0.51700000000000002</v>
      </c>
      <c r="L25" s="202">
        <f t="shared" si="9"/>
        <v>0.51700000000000002</v>
      </c>
      <c r="M25" s="203">
        <f t="shared" si="7"/>
        <v>0.42799999999999999</v>
      </c>
      <c r="N25" s="204">
        <f t="shared" si="8"/>
        <v>0.42799999999999999</v>
      </c>
    </row>
    <row r="26" spans="1:14" ht="15.75" x14ac:dyDescent="0.25">
      <c r="A26" s="205">
        <v>21</v>
      </c>
      <c r="B26" s="198" t="s">
        <v>75</v>
      </c>
      <c r="C26" s="198" t="s">
        <v>76</v>
      </c>
      <c r="D26" s="200">
        <v>2.04</v>
      </c>
      <c r="E26" s="200">
        <v>2.04</v>
      </c>
      <c r="F26" s="200">
        <v>2.04</v>
      </c>
      <c r="G26" s="200">
        <v>1.9670000000000001</v>
      </c>
      <c r="H26" s="200">
        <v>1.9670000000000001</v>
      </c>
      <c r="I26" s="201">
        <v>1</v>
      </c>
      <c r="J26" s="202">
        <f t="shared" si="5"/>
        <v>2.04</v>
      </c>
      <c r="K26" s="203">
        <f t="shared" si="6"/>
        <v>2.04</v>
      </c>
      <c r="L26" s="202">
        <f t="shared" si="9"/>
        <v>2.04</v>
      </c>
      <c r="M26" s="203">
        <f t="shared" si="7"/>
        <v>1.9670000000000001</v>
      </c>
      <c r="N26" s="204">
        <f t="shared" si="8"/>
        <v>1.9670000000000001</v>
      </c>
    </row>
    <row r="27" spans="1:14" ht="15.75" x14ac:dyDescent="0.25">
      <c r="A27" s="205">
        <v>22</v>
      </c>
      <c r="B27" s="198" t="s">
        <v>47</v>
      </c>
      <c r="C27" s="198" t="s">
        <v>48</v>
      </c>
      <c r="D27" s="200">
        <v>1.93</v>
      </c>
      <c r="E27" s="200">
        <v>1.93</v>
      </c>
      <c r="F27" s="200">
        <v>1.93</v>
      </c>
      <c r="G27" s="200">
        <v>1.861</v>
      </c>
      <c r="H27" s="200">
        <v>1.861</v>
      </c>
      <c r="I27" s="201">
        <v>1</v>
      </c>
      <c r="J27" s="202">
        <f t="shared" si="5"/>
        <v>1.93</v>
      </c>
      <c r="K27" s="203">
        <f t="shared" si="6"/>
        <v>1.93</v>
      </c>
      <c r="L27" s="202">
        <f t="shared" si="9"/>
        <v>1.93</v>
      </c>
      <c r="M27" s="203">
        <f t="shared" si="7"/>
        <v>1.861</v>
      </c>
      <c r="N27" s="204">
        <f t="shared" si="8"/>
        <v>1.861</v>
      </c>
    </row>
    <row r="28" spans="1:14" ht="15.75" x14ac:dyDescent="0.25">
      <c r="A28" s="205">
        <v>23</v>
      </c>
      <c r="B28" s="198" t="s">
        <v>118</v>
      </c>
      <c r="C28" s="198" t="s">
        <v>358</v>
      </c>
      <c r="D28" s="200">
        <v>3.5999999999999997E-2</v>
      </c>
      <c r="E28" s="200">
        <v>3.5999999999999997E-2</v>
      </c>
      <c r="F28" s="200">
        <v>3.5999999999999997E-2</v>
      </c>
      <c r="G28" s="200">
        <v>3.5999999999999997E-2</v>
      </c>
      <c r="H28" s="200">
        <v>3.5999999999999997E-2</v>
      </c>
      <c r="I28" s="201">
        <v>1</v>
      </c>
      <c r="J28" s="202">
        <f t="shared" si="5"/>
        <v>3.5999999999999997E-2</v>
      </c>
      <c r="K28" s="203">
        <f t="shared" si="6"/>
        <v>3.5999999999999997E-2</v>
      </c>
      <c r="L28" s="202">
        <f t="shared" si="9"/>
        <v>3.5999999999999997E-2</v>
      </c>
      <c r="M28" s="203">
        <f t="shared" si="7"/>
        <v>3.5999999999999997E-2</v>
      </c>
      <c r="N28" s="204">
        <f t="shared" si="8"/>
        <v>3.5999999999999997E-2</v>
      </c>
    </row>
    <row r="29" spans="1:14" ht="15.75" x14ac:dyDescent="0.25">
      <c r="A29" s="205">
        <v>24</v>
      </c>
      <c r="B29" s="198" t="s">
        <v>121</v>
      </c>
      <c r="C29" s="198" t="s">
        <v>359</v>
      </c>
      <c r="D29" s="200">
        <v>2.4E-2</v>
      </c>
      <c r="E29" s="200">
        <v>2.4E-2</v>
      </c>
      <c r="F29" s="200">
        <v>2.4E-2</v>
      </c>
      <c r="G29" s="200">
        <v>2.4E-2</v>
      </c>
      <c r="H29" s="200">
        <v>2.4E-2</v>
      </c>
      <c r="I29" s="201">
        <v>1</v>
      </c>
      <c r="J29" s="202">
        <f t="shared" si="5"/>
        <v>2.4E-2</v>
      </c>
      <c r="K29" s="203">
        <f t="shared" si="6"/>
        <v>2.4E-2</v>
      </c>
      <c r="L29" s="202">
        <f t="shared" si="9"/>
        <v>2.4E-2</v>
      </c>
      <c r="M29" s="203">
        <f t="shared" si="7"/>
        <v>2.4E-2</v>
      </c>
      <c r="N29" s="204">
        <f t="shared" si="8"/>
        <v>2.4E-2</v>
      </c>
    </row>
    <row r="30" spans="1:14" ht="15.75" x14ac:dyDescent="0.25">
      <c r="A30" s="205">
        <v>25</v>
      </c>
      <c r="B30" s="198" t="s">
        <v>123</v>
      </c>
      <c r="C30" s="198" t="s">
        <v>360</v>
      </c>
      <c r="D30" s="200">
        <v>3.6999999999999998E-2</v>
      </c>
      <c r="E30" s="200">
        <v>3.6999999999999998E-2</v>
      </c>
      <c r="F30" s="200">
        <v>3.6999999999999998E-2</v>
      </c>
      <c r="G30" s="200">
        <v>3.6999999999999998E-2</v>
      </c>
      <c r="H30" s="200">
        <v>3.6999999999999998E-2</v>
      </c>
      <c r="I30" s="201">
        <v>1</v>
      </c>
      <c r="J30" s="202">
        <f t="shared" si="5"/>
        <v>3.6999999999999998E-2</v>
      </c>
      <c r="K30" s="203">
        <f t="shared" si="6"/>
        <v>3.6999999999999998E-2</v>
      </c>
      <c r="L30" s="202">
        <f t="shared" si="9"/>
        <v>3.6999999999999998E-2</v>
      </c>
      <c r="M30" s="203">
        <f t="shared" si="7"/>
        <v>3.6999999999999998E-2</v>
      </c>
      <c r="N30" s="204">
        <f t="shared" si="8"/>
        <v>3.6999999999999998E-2</v>
      </c>
    </row>
    <row r="31" spans="1:14" ht="15.75" x14ac:dyDescent="0.25">
      <c r="A31" s="205">
        <v>26</v>
      </c>
      <c r="B31" s="198" t="s">
        <v>59</v>
      </c>
      <c r="C31" s="198" t="s">
        <v>60</v>
      </c>
      <c r="D31" s="200">
        <v>4.4999999999999998E-2</v>
      </c>
      <c r="E31" s="200">
        <v>4.4999999999999998E-2</v>
      </c>
      <c r="F31" s="200">
        <v>4.4999999999999998E-2</v>
      </c>
      <c r="G31" s="200">
        <v>4.4999999999999998E-2</v>
      </c>
      <c r="H31" s="200">
        <v>4.4999999999999998E-2</v>
      </c>
      <c r="I31" s="201">
        <v>1</v>
      </c>
      <c r="J31" s="202">
        <f t="shared" si="5"/>
        <v>4.4999999999999998E-2</v>
      </c>
      <c r="K31" s="203">
        <f t="shared" si="6"/>
        <v>4.4999999999999998E-2</v>
      </c>
      <c r="L31" s="202">
        <f t="shared" si="9"/>
        <v>4.4999999999999998E-2</v>
      </c>
      <c r="M31" s="203">
        <f t="shared" si="7"/>
        <v>4.4999999999999998E-2</v>
      </c>
      <c r="N31" s="204">
        <f t="shared" si="8"/>
        <v>4.4999999999999998E-2</v>
      </c>
    </row>
    <row r="32" spans="1:14" ht="15.75" x14ac:dyDescent="0.25">
      <c r="A32" s="205">
        <v>27</v>
      </c>
      <c r="B32" s="198" t="s">
        <v>39</v>
      </c>
      <c r="C32" s="198" t="s">
        <v>361</v>
      </c>
      <c r="D32" s="200">
        <v>6.7000000000000004E-2</v>
      </c>
      <c r="E32" s="200">
        <v>6.7000000000000004E-2</v>
      </c>
      <c r="F32" s="200">
        <v>6.7000000000000004E-2</v>
      </c>
      <c r="G32" s="200">
        <v>6.7000000000000004E-2</v>
      </c>
      <c r="H32" s="200">
        <v>6.7000000000000004E-2</v>
      </c>
      <c r="I32" s="201">
        <v>1</v>
      </c>
      <c r="J32" s="202">
        <f t="shared" si="5"/>
        <v>6.7000000000000004E-2</v>
      </c>
      <c r="K32" s="203">
        <f t="shared" si="6"/>
        <v>6.7000000000000004E-2</v>
      </c>
      <c r="L32" s="202">
        <f t="shared" si="9"/>
        <v>6.7000000000000004E-2</v>
      </c>
      <c r="M32" s="203">
        <f t="shared" si="7"/>
        <v>6.7000000000000004E-2</v>
      </c>
      <c r="N32" s="204">
        <f t="shared" si="8"/>
        <v>6.7000000000000004E-2</v>
      </c>
    </row>
    <row r="33" spans="1:14" ht="15.75" x14ac:dyDescent="0.25">
      <c r="A33" s="205">
        <v>28</v>
      </c>
      <c r="B33" s="198" t="s">
        <v>42</v>
      </c>
      <c r="C33" s="198" t="s">
        <v>43</v>
      </c>
      <c r="D33" s="200">
        <v>0.77</v>
      </c>
      <c r="E33" s="200">
        <v>0.77</v>
      </c>
      <c r="F33" s="200">
        <v>0.51</v>
      </c>
      <c r="G33" s="200">
        <v>0.77</v>
      </c>
      <c r="H33" s="200">
        <v>0.77</v>
      </c>
      <c r="I33" s="201">
        <v>1</v>
      </c>
      <c r="J33" s="202">
        <f t="shared" si="5"/>
        <v>0.77</v>
      </c>
      <c r="K33" s="203">
        <f t="shared" si="6"/>
        <v>0.77</v>
      </c>
      <c r="L33" s="202">
        <f t="shared" si="9"/>
        <v>0.51</v>
      </c>
      <c r="M33" s="203">
        <f t="shared" si="7"/>
        <v>0.77</v>
      </c>
      <c r="N33" s="204">
        <f t="shared" si="8"/>
        <v>0.77</v>
      </c>
    </row>
    <row r="34" spans="1:14" ht="15.75" x14ac:dyDescent="0.25">
      <c r="A34" s="205">
        <v>29</v>
      </c>
      <c r="B34" s="198" t="s">
        <v>126</v>
      </c>
      <c r="C34" s="198" t="s">
        <v>127</v>
      </c>
      <c r="D34" s="200">
        <v>6.7000000000000004E-2</v>
      </c>
      <c r="E34" s="200">
        <v>6.7000000000000004E-2</v>
      </c>
      <c r="F34" s="200">
        <v>6.7000000000000004E-2</v>
      </c>
      <c r="G34" s="200">
        <v>6.7000000000000004E-2</v>
      </c>
      <c r="H34" s="200">
        <v>6.7000000000000004E-2</v>
      </c>
      <c r="I34" s="201">
        <v>1</v>
      </c>
      <c r="J34" s="202">
        <f t="shared" si="5"/>
        <v>6.7000000000000004E-2</v>
      </c>
      <c r="K34" s="203">
        <f t="shared" si="6"/>
        <v>6.7000000000000004E-2</v>
      </c>
      <c r="L34" s="202">
        <f t="shared" si="9"/>
        <v>6.7000000000000004E-2</v>
      </c>
      <c r="M34" s="203">
        <f t="shared" si="7"/>
        <v>6.7000000000000004E-2</v>
      </c>
      <c r="N34" s="204">
        <f t="shared" si="8"/>
        <v>6.7000000000000004E-2</v>
      </c>
    </row>
    <row r="35" spans="1:14" ht="15.75" x14ac:dyDescent="0.25">
      <c r="A35" s="205">
        <v>30</v>
      </c>
      <c r="B35" s="198" t="s">
        <v>73</v>
      </c>
      <c r="C35" s="198" t="s">
        <v>362</v>
      </c>
      <c r="D35" s="200">
        <v>0.15</v>
      </c>
      <c r="E35" s="200">
        <v>0.15</v>
      </c>
      <c r="F35" s="200">
        <v>0.15</v>
      </c>
      <c r="G35" s="200">
        <v>0.15</v>
      </c>
      <c r="H35" s="200">
        <v>0.15</v>
      </c>
      <c r="I35" s="201">
        <v>2</v>
      </c>
      <c r="J35" s="202">
        <f t="shared" si="5"/>
        <v>0.3</v>
      </c>
      <c r="K35" s="203">
        <f t="shared" si="6"/>
        <v>0.3</v>
      </c>
      <c r="L35" s="202">
        <f t="shared" si="9"/>
        <v>0.3</v>
      </c>
      <c r="M35" s="203">
        <f t="shared" si="7"/>
        <v>0.3</v>
      </c>
      <c r="N35" s="204">
        <f t="shared" si="8"/>
        <v>0.3</v>
      </c>
    </row>
    <row r="36" spans="1:14" ht="15.75" x14ac:dyDescent="0.25">
      <c r="A36" s="205">
        <v>31</v>
      </c>
      <c r="B36" s="199" t="s">
        <v>56</v>
      </c>
      <c r="C36" s="199" t="s">
        <v>57</v>
      </c>
      <c r="D36" s="200">
        <v>0.17699999999999999</v>
      </c>
      <c r="E36" s="200">
        <v>0.17699999999999999</v>
      </c>
      <c r="F36" s="200">
        <v>0.17699999999999999</v>
      </c>
      <c r="G36" s="200">
        <v>0.17699999999999999</v>
      </c>
      <c r="H36" s="200">
        <v>0.17699999999999999</v>
      </c>
      <c r="I36" s="201">
        <v>1</v>
      </c>
      <c r="J36" s="202">
        <f t="shared" si="5"/>
        <v>0.17699999999999999</v>
      </c>
      <c r="K36" s="203">
        <f t="shared" si="6"/>
        <v>0.17699999999999999</v>
      </c>
      <c r="L36" s="202">
        <f t="shared" si="9"/>
        <v>0.17699999999999999</v>
      </c>
      <c r="M36" s="203">
        <f t="shared" si="7"/>
        <v>0.17699999999999999</v>
      </c>
      <c r="N36" s="204">
        <f t="shared" si="8"/>
        <v>0.17699999999999999</v>
      </c>
    </row>
    <row r="37" spans="1:14" ht="15.75" x14ac:dyDescent="0.25">
      <c r="A37" s="205">
        <v>32</v>
      </c>
      <c r="B37" s="198" t="s">
        <v>54</v>
      </c>
      <c r="C37" s="198" t="s">
        <v>55</v>
      </c>
      <c r="D37" s="200">
        <v>0.02</v>
      </c>
      <c r="E37" s="200">
        <v>0.02</v>
      </c>
      <c r="F37" s="200">
        <v>0.02</v>
      </c>
      <c r="G37" s="200">
        <v>0.02</v>
      </c>
      <c r="H37" s="200">
        <v>0.02</v>
      </c>
      <c r="I37" s="201">
        <v>1</v>
      </c>
      <c r="J37" s="202">
        <f t="shared" si="5"/>
        <v>0.02</v>
      </c>
      <c r="K37" s="203">
        <f t="shared" si="6"/>
        <v>0.02</v>
      </c>
      <c r="L37" s="202">
        <f t="shared" si="9"/>
        <v>0.02</v>
      </c>
      <c r="M37" s="203">
        <f t="shared" si="7"/>
        <v>0.02</v>
      </c>
      <c r="N37" s="204">
        <f t="shared" si="8"/>
        <v>0.02</v>
      </c>
    </row>
    <row r="38" spans="1:14" ht="15.75" x14ac:dyDescent="0.25">
      <c r="A38" s="205">
        <v>33</v>
      </c>
      <c r="B38" s="198" t="s">
        <v>129</v>
      </c>
      <c r="C38" s="198" t="s">
        <v>363</v>
      </c>
      <c r="D38" s="200">
        <v>0.96</v>
      </c>
      <c r="E38" s="200">
        <v>0.96</v>
      </c>
      <c r="F38" s="200">
        <v>0.96</v>
      </c>
      <c r="G38" s="200">
        <v>0.96</v>
      </c>
      <c r="H38" s="200">
        <v>0.96</v>
      </c>
      <c r="I38" s="201">
        <v>1</v>
      </c>
      <c r="J38" s="202">
        <f t="shared" si="5"/>
        <v>0.96</v>
      </c>
      <c r="K38" s="203">
        <f t="shared" si="6"/>
        <v>0.96</v>
      </c>
      <c r="L38" s="202">
        <f t="shared" si="9"/>
        <v>0.96</v>
      </c>
      <c r="M38" s="203">
        <f t="shared" si="7"/>
        <v>0.96</v>
      </c>
      <c r="N38" s="204">
        <f t="shared" si="8"/>
        <v>0.96</v>
      </c>
    </row>
    <row r="39" spans="1:14" ht="15.75" x14ac:dyDescent="0.25">
      <c r="A39" s="205">
        <v>34</v>
      </c>
      <c r="B39" s="198" t="s">
        <v>138</v>
      </c>
      <c r="C39" s="198" t="s">
        <v>364</v>
      </c>
      <c r="D39" s="200">
        <v>0.44</v>
      </c>
      <c r="E39" s="200">
        <v>0.44</v>
      </c>
      <c r="F39" s="200">
        <v>0.44</v>
      </c>
      <c r="G39" s="200">
        <v>0.44</v>
      </c>
      <c r="H39" s="200">
        <v>0.44</v>
      </c>
      <c r="I39" s="201">
        <v>1</v>
      </c>
      <c r="J39" s="202">
        <f t="shared" ref="J39:J54" si="10">I39*D39</f>
        <v>0.44</v>
      </c>
      <c r="K39" s="203">
        <f t="shared" ref="K39:K54" si="11">E39*I39</f>
        <v>0.44</v>
      </c>
      <c r="L39" s="202">
        <f t="shared" ref="L39:L54" si="12">F39*I39</f>
        <v>0.44</v>
      </c>
      <c r="M39" s="203">
        <f t="shared" ref="M39:M54" si="13">G39*I39</f>
        <v>0.44</v>
      </c>
      <c r="N39" s="204">
        <f t="shared" ref="N39:N54" si="14">H39*I39</f>
        <v>0.44</v>
      </c>
    </row>
    <row r="40" spans="1:14" ht="15.75" x14ac:dyDescent="0.25">
      <c r="A40" s="205">
        <v>35</v>
      </c>
      <c r="B40" s="198" t="s">
        <v>85</v>
      </c>
      <c r="C40" s="198" t="s">
        <v>365</v>
      </c>
      <c r="D40" s="200">
        <v>45.83</v>
      </c>
      <c r="E40" s="200">
        <v>45.83</v>
      </c>
      <c r="F40" s="458">
        <v>40.200000000000003</v>
      </c>
      <c r="G40" s="200">
        <v>45.83</v>
      </c>
      <c r="H40" s="200">
        <v>45.83</v>
      </c>
      <c r="I40" s="201">
        <v>1</v>
      </c>
      <c r="J40" s="202">
        <f t="shared" si="10"/>
        <v>45.83</v>
      </c>
      <c r="K40" s="203">
        <f t="shared" si="11"/>
        <v>45.83</v>
      </c>
      <c r="L40" s="449">
        <f>F40*I40*I58</f>
        <v>0</v>
      </c>
      <c r="M40" s="203">
        <f t="shared" si="13"/>
        <v>45.83</v>
      </c>
      <c r="N40" s="204">
        <f t="shared" si="14"/>
        <v>45.83</v>
      </c>
    </row>
    <row r="41" spans="1:14" ht="15.75" x14ac:dyDescent="0.25">
      <c r="A41" s="205">
        <v>36</v>
      </c>
      <c r="B41" s="198" t="s">
        <v>269</v>
      </c>
      <c r="C41" s="198" t="s">
        <v>366</v>
      </c>
      <c r="D41" s="200">
        <v>6.7000000000000004E-2</v>
      </c>
      <c r="E41" s="200">
        <v>6.7000000000000004E-2</v>
      </c>
      <c r="F41" s="200">
        <v>1.4E-2</v>
      </c>
      <c r="G41" s="200">
        <v>6.7000000000000004E-2</v>
      </c>
      <c r="H41" s="200">
        <v>6.7000000000000004E-2</v>
      </c>
      <c r="I41" s="201">
        <v>1</v>
      </c>
      <c r="J41" s="202">
        <f t="shared" si="10"/>
        <v>6.7000000000000004E-2</v>
      </c>
      <c r="K41" s="203">
        <f t="shared" si="11"/>
        <v>6.7000000000000004E-2</v>
      </c>
      <c r="L41" s="202">
        <f t="shared" si="12"/>
        <v>1.4E-2</v>
      </c>
      <c r="M41" s="203">
        <f t="shared" si="13"/>
        <v>6.7000000000000004E-2</v>
      </c>
      <c r="N41" s="204">
        <f t="shared" si="14"/>
        <v>6.7000000000000004E-2</v>
      </c>
    </row>
    <row r="42" spans="1:14" ht="15.75" x14ac:dyDescent="0.25">
      <c r="A42" s="205">
        <v>37</v>
      </c>
      <c r="B42" s="198" t="s">
        <v>82</v>
      </c>
      <c r="C42" s="198" t="s">
        <v>367</v>
      </c>
      <c r="D42" s="200">
        <v>0.43</v>
      </c>
      <c r="E42" s="200">
        <v>0.39300000000000002</v>
      </c>
      <c r="F42" s="200">
        <v>0.39300000000000002</v>
      </c>
      <c r="G42" s="200">
        <v>0.39300000000000002</v>
      </c>
      <c r="H42" s="200">
        <v>0.39300000000000002</v>
      </c>
      <c r="I42" s="201">
        <v>1</v>
      </c>
      <c r="J42" s="202">
        <f t="shared" si="10"/>
        <v>0.43</v>
      </c>
      <c r="K42" s="203">
        <f t="shared" si="11"/>
        <v>0.39300000000000002</v>
      </c>
      <c r="L42" s="202">
        <f t="shared" si="12"/>
        <v>0.39300000000000002</v>
      </c>
      <c r="M42" s="203">
        <f t="shared" si="13"/>
        <v>0.39300000000000002</v>
      </c>
      <c r="N42" s="204">
        <f t="shared" si="14"/>
        <v>0.39300000000000002</v>
      </c>
    </row>
    <row r="43" spans="1:14" ht="15.75" x14ac:dyDescent="0.25">
      <c r="A43" s="205">
        <v>38</v>
      </c>
      <c r="B43" s="198" t="s">
        <v>65</v>
      </c>
      <c r="C43" s="198" t="s">
        <v>368</v>
      </c>
      <c r="D43" s="200">
        <v>4.1000000000000002E-2</v>
      </c>
      <c r="E43" s="200">
        <v>4.1000000000000002E-2</v>
      </c>
      <c r="F43" s="200">
        <v>4.1000000000000002E-2</v>
      </c>
      <c r="G43" s="200">
        <v>4.1000000000000002E-2</v>
      </c>
      <c r="H43" s="200">
        <v>4.1000000000000002E-2</v>
      </c>
      <c r="I43" s="201">
        <v>1</v>
      </c>
      <c r="J43" s="202">
        <f t="shared" si="10"/>
        <v>4.1000000000000002E-2</v>
      </c>
      <c r="K43" s="203">
        <f t="shared" si="11"/>
        <v>4.1000000000000002E-2</v>
      </c>
      <c r="L43" s="202">
        <f t="shared" si="12"/>
        <v>4.1000000000000002E-2</v>
      </c>
      <c r="M43" s="203">
        <f t="shared" si="13"/>
        <v>4.1000000000000002E-2</v>
      </c>
      <c r="N43" s="204">
        <f t="shared" si="14"/>
        <v>4.1000000000000002E-2</v>
      </c>
    </row>
    <row r="44" spans="1:14" ht="15.75" x14ac:dyDescent="0.25">
      <c r="A44" s="205">
        <v>39</v>
      </c>
      <c r="B44" s="198" t="s">
        <v>140</v>
      </c>
      <c r="C44" s="198" t="s">
        <v>369</v>
      </c>
      <c r="D44" s="200">
        <v>0.04</v>
      </c>
      <c r="E44" s="200">
        <v>0.04</v>
      </c>
      <c r="F44" s="200">
        <v>0.04</v>
      </c>
      <c r="G44" s="200">
        <v>0.04</v>
      </c>
      <c r="H44" s="200">
        <v>0.04</v>
      </c>
      <c r="I44" s="201">
        <v>1</v>
      </c>
      <c r="J44" s="202">
        <f t="shared" si="10"/>
        <v>0.04</v>
      </c>
      <c r="K44" s="203">
        <f t="shared" si="11"/>
        <v>0.04</v>
      </c>
      <c r="L44" s="202">
        <f t="shared" si="12"/>
        <v>0.04</v>
      </c>
      <c r="M44" s="203">
        <f t="shared" si="13"/>
        <v>0.04</v>
      </c>
      <c r="N44" s="204">
        <f t="shared" si="14"/>
        <v>0.04</v>
      </c>
    </row>
    <row r="45" spans="1:14" ht="15.75" x14ac:dyDescent="0.25">
      <c r="A45" s="205">
        <v>40</v>
      </c>
      <c r="B45" s="198" t="s">
        <v>142</v>
      </c>
      <c r="C45" s="198" t="s">
        <v>143</v>
      </c>
      <c r="D45" s="439">
        <v>5.76</v>
      </c>
      <c r="E45" s="439">
        <v>5.76</v>
      </c>
      <c r="F45" s="439">
        <v>5.56</v>
      </c>
      <c r="G45" s="439">
        <v>5.76</v>
      </c>
      <c r="H45" s="439">
        <v>5.76</v>
      </c>
      <c r="I45" s="201">
        <v>1</v>
      </c>
      <c r="J45" s="202">
        <f t="shared" si="10"/>
        <v>5.76</v>
      </c>
      <c r="K45" s="203">
        <f t="shared" si="11"/>
        <v>5.76</v>
      </c>
      <c r="L45" s="202">
        <f t="shared" si="12"/>
        <v>5.56</v>
      </c>
      <c r="M45" s="203">
        <f t="shared" si="13"/>
        <v>5.76</v>
      </c>
      <c r="N45" s="204">
        <f t="shared" si="14"/>
        <v>5.76</v>
      </c>
    </row>
    <row r="46" spans="1:14" ht="15.75" x14ac:dyDescent="0.25">
      <c r="A46" s="205">
        <v>41</v>
      </c>
      <c r="B46" s="198" t="s">
        <v>51</v>
      </c>
      <c r="C46" s="198" t="s">
        <v>370</v>
      </c>
      <c r="D46" s="439">
        <v>1.24</v>
      </c>
      <c r="E46" s="439">
        <v>1.24</v>
      </c>
      <c r="F46" s="439">
        <v>1.24</v>
      </c>
      <c r="G46" s="439">
        <v>1.24</v>
      </c>
      <c r="H46" s="439">
        <v>1.24</v>
      </c>
      <c r="I46" s="201">
        <v>1</v>
      </c>
      <c r="J46" s="202">
        <f t="shared" si="10"/>
        <v>1.24</v>
      </c>
      <c r="K46" s="203">
        <f t="shared" si="11"/>
        <v>1.24</v>
      </c>
      <c r="L46" s="202">
        <f t="shared" si="12"/>
        <v>1.24</v>
      </c>
      <c r="M46" s="203">
        <f t="shared" si="13"/>
        <v>1.24</v>
      </c>
      <c r="N46" s="204">
        <f t="shared" si="14"/>
        <v>1.24</v>
      </c>
    </row>
    <row r="47" spans="1:14" ht="15.75" x14ac:dyDescent="0.25">
      <c r="A47" s="205">
        <v>42</v>
      </c>
      <c r="B47" s="198" t="s">
        <v>97</v>
      </c>
      <c r="C47" s="198" t="s">
        <v>371</v>
      </c>
      <c r="D47" s="200">
        <v>0.19</v>
      </c>
      <c r="E47" s="200">
        <v>0.19</v>
      </c>
      <c r="F47" s="200">
        <v>0.19</v>
      </c>
      <c r="G47" s="200">
        <v>0.19</v>
      </c>
      <c r="H47" s="200">
        <v>0.19</v>
      </c>
      <c r="I47" s="201">
        <v>0.04</v>
      </c>
      <c r="J47" s="202">
        <f t="shared" si="10"/>
        <v>7.6E-3</v>
      </c>
      <c r="K47" s="203">
        <f t="shared" si="11"/>
        <v>7.6E-3</v>
      </c>
      <c r="L47" s="202">
        <f t="shared" si="12"/>
        <v>7.6E-3</v>
      </c>
      <c r="M47" s="203">
        <f t="shared" si="13"/>
        <v>7.6E-3</v>
      </c>
      <c r="N47" s="204">
        <f t="shared" si="14"/>
        <v>7.6E-3</v>
      </c>
    </row>
    <row r="48" spans="1:14" ht="15.75" x14ac:dyDescent="0.25">
      <c r="A48" s="205">
        <v>43</v>
      </c>
      <c r="B48" s="198" t="s">
        <v>274</v>
      </c>
      <c r="C48" s="198" t="s">
        <v>372</v>
      </c>
      <c r="D48" s="200">
        <v>3.0000000000000001E-3</v>
      </c>
      <c r="E48" s="200">
        <v>3.0000000000000001E-3</v>
      </c>
      <c r="F48" s="200">
        <v>3.0000000000000001E-3</v>
      </c>
      <c r="G48" s="200">
        <v>3.0000000000000001E-3</v>
      </c>
      <c r="H48" s="200">
        <v>3.0000000000000001E-3</v>
      </c>
      <c r="I48" s="201">
        <v>1</v>
      </c>
      <c r="J48" s="202">
        <f t="shared" si="10"/>
        <v>3.0000000000000001E-3</v>
      </c>
      <c r="K48" s="203">
        <f t="shared" si="11"/>
        <v>3.0000000000000001E-3</v>
      </c>
      <c r="L48" s="202">
        <f t="shared" si="12"/>
        <v>3.0000000000000001E-3</v>
      </c>
      <c r="M48" s="203">
        <f t="shared" si="13"/>
        <v>3.0000000000000001E-3</v>
      </c>
      <c r="N48" s="204">
        <f t="shared" si="14"/>
        <v>3.0000000000000001E-3</v>
      </c>
    </row>
    <row r="49" spans="1:16" ht="15.75" x14ac:dyDescent="0.25">
      <c r="A49" s="205">
        <v>44</v>
      </c>
      <c r="B49" s="198" t="s">
        <v>276</v>
      </c>
      <c r="C49" s="198" t="s">
        <v>373</v>
      </c>
      <c r="D49" s="200">
        <v>1.88</v>
      </c>
      <c r="E49" s="200">
        <v>1.82</v>
      </c>
      <c r="F49" s="200">
        <v>1.82</v>
      </c>
      <c r="G49" s="200">
        <v>1.56</v>
      </c>
      <c r="H49" s="200">
        <v>1.56</v>
      </c>
      <c r="I49" s="206">
        <v>1.7899999999999999E-2</v>
      </c>
      <c r="J49" s="202">
        <f t="shared" si="10"/>
        <v>3.3651999999999994E-2</v>
      </c>
      <c r="K49" s="203">
        <f t="shared" si="11"/>
        <v>3.2578000000000003E-2</v>
      </c>
      <c r="L49" s="202">
        <f t="shared" si="12"/>
        <v>3.2578000000000003E-2</v>
      </c>
      <c r="M49" s="203">
        <f t="shared" si="13"/>
        <v>2.7924000000000001E-2</v>
      </c>
      <c r="N49" s="204">
        <f t="shared" si="14"/>
        <v>2.7924000000000001E-2</v>
      </c>
    </row>
    <row r="50" spans="1:16" ht="15.75" x14ac:dyDescent="0.25">
      <c r="A50" s="205">
        <v>45</v>
      </c>
      <c r="B50" s="198" t="s">
        <v>278</v>
      </c>
      <c r="C50" s="198" t="s">
        <v>374</v>
      </c>
      <c r="D50" s="200">
        <v>8.6999999999999994E-2</v>
      </c>
      <c r="E50" s="200">
        <v>8.6999999999999994E-2</v>
      </c>
      <c r="F50" s="200">
        <v>8.6999999999999994E-2</v>
      </c>
      <c r="G50" s="200">
        <v>8.6999999999999994E-2</v>
      </c>
      <c r="H50" s="200">
        <v>8.6999999999999994E-2</v>
      </c>
      <c r="I50" s="192">
        <v>1</v>
      </c>
      <c r="J50" s="202">
        <f t="shared" si="10"/>
        <v>8.6999999999999994E-2</v>
      </c>
      <c r="K50" s="203">
        <f t="shared" si="11"/>
        <v>8.6999999999999994E-2</v>
      </c>
      <c r="L50" s="202">
        <f t="shared" si="12"/>
        <v>8.6999999999999994E-2</v>
      </c>
      <c r="M50" s="203">
        <f t="shared" si="13"/>
        <v>8.6999999999999994E-2</v>
      </c>
      <c r="N50" s="204">
        <f t="shared" si="14"/>
        <v>8.6999999999999994E-2</v>
      </c>
    </row>
    <row r="51" spans="1:16" ht="15.75" x14ac:dyDescent="0.25">
      <c r="A51" s="205">
        <v>46</v>
      </c>
      <c r="B51" s="199" t="s">
        <v>280</v>
      </c>
      <c r="C51" s="198" t="s">
        <v>375</v>
      </c>
      <c r="D51" s="200">
        <v>0.39700000000000002</v>
      </c>
      <c r="E51" s="200">
        <v>0.372</v>
      </c>
      <c r="F51" s="200">
        <v>0.372</v>
      </c>
      <c r="G51" s="200">
        <v>0.32200000000000001</v>
      </c>
      <c r="H51" s="200">
        <v>0.28799999999999998</v>
      </c>
      <c r="I51" s="206">
        <f>0.0058/0.372</f>
        <v>1.5591397849462365E-2</v>
      </c>
      <c r="J51" s="202">
        <f t="shared" si="10"/>
        <v>6.189784946236559E-3</v>
      </c>
      <c r="K51" s="203">
        <f t="shared" si="11"/>
        <v>5.7999999999999996E-3</v>
      </c>
      <c r="L51" s="202">
        <f t="shared" si="12"/>
        <v>5.7999999999999996E-3</v>
      </c>
      <c r="M51" s="203">
        <f t="shared" si="13"/>
        <v>5.0204301075268817E-3</v>
      </c>
      <c r="N51" s="204">
        <f t="shared" si="14"/>
        <v>4.490322580645161E-3</v>
      </c>
    </row>
    <row r="52" spans="1:16" ht="15.75" x14ac:dyDescent="0.25">
      <c r="A52" s="205">
        <v>47</v>
      </c>
      <c r="B52" s="198" t="s">
        <v>282</v>
      </c>
      <c r="C52" s="199" t="s">
        <v>376</v>
      </c>
      <c r="D52" s="200">
        <v>4.78</v>
      </c>
      <c r="E52" s="200">
        <v>4.78</v>
      </c>
      <c r="F52" s="200">
        <v>4.78</v>
      </c>
      <c r="G52" s="200">
        <v>4.78</v>
      </c>
      <c r="H52" s="200">
        <v>4.78</v>
      </c>
      <c r="I52" s="206">
        <v>0.125</v>
      </c>
      <c r="J52" s="202">
        <f t="shared" si="10"/>
        <v>0.59750000000000003</v>
      </c>
      <c r="K52" s="203">
        <f t="shared" si="11"/>
        <v>0.59750000000000003</v>
      </c>
      <c r="L52" s="202">
        <f t="shared" si="12"/>
        <v>0.59750000000000003</v>
      </c>
      <c r="M52" s="203">
        <f t="shared" si="13"/>
        <v>0.59750000000000003</v>
      </c>
      <c r="N52" s="204">
        <f t="shared" si="14"/>
        <v>0.59750000000000003</v>
      </c>
    </row>
    <row r="53" spans="1:16" ht="15.75" x14ac:dyDescent="0.25">
      <c r="A53" s="205">
        <v>48</v>
      </c>
      <c r="B53" s="198" t="s">
        <v>284</v>
      </c>
      <c r="C53" s="199" t="s">
        <v>377</v>
      </c>
      <c r="D53" s="200">
        <v>4.78</v>
      </c>
      <c r="E53" s="200">
        <v>4.78</v>
      </c>
      <c r="F53" s="200">
        <v>4.78</v>
      </c>
      <c r="G53" s="200">
        <v>4.78</v>
      </c>
      <c r="H53" s="200">
        <v>4.78</v>
      </c>
      <c r="I53" s="206">
        <v>0.125</v>
      </c>
      <c r="J53" s="202">
        <f t="shared" si="10"/>
        <v>0.59750000000000003</v>
      </c>
      <c r="K53" s="203">
        <f t="shared" si="11"/>
        <v>0.59750000000000003</v>
      </c>
      <c r="L53" s="202">
        <f t="shared" si="12"/>
        <v>0.59750000000000003</v>
      </c>
      <c r="M53" s="203">
        <f t="shared" si="13"/>
        <v>0.59750000000000003</v>
      </c>
      <c r="N53" s="204">
        <f t="shared" si="14"/>
        <v>0.59750000000000003</v>
      </c>
    </row>
    <row r="54" spans="1:16" ht="15.75" x14ac:dyDescent="0.25">
      <c r="A54" s="205">
        <v>49</v>
      </c>
      <c r="B54" s="207" t="s">
        <v>77</v>
      </c>
      <c r="C54" s="207" t="s">
        <v>78</v>
      </c>
      <c r="D54" s="437">
        <v>3.6999999999999998E-2</v>
      </c>
      <c r="E54" s="437">
        <v>3.6999999999999998E-2</v>
      </c>
      <c r="F54" s="437">
        <v>3.6999999999999998E-2</v>
      </c>
      <c r="G54" s="437">
        <v>3.6999999999999998E-2</v>
      </c>
      <c r="H54" s="437">
        <v>3.6999999999999998E-2</v>
      </c>
      <c r="I54" s="208">
        <v>1</v>
      </c>
      <c r="J54" s="202">
        <f t="shared" si="10"/>
        <v>3.6999999999999998E-2</v>
      </c>
      <c r="K54" s="203">
        <f t="shared" si="11"/>
        <v>3.6999999999999998E-2</v>
      </c>
      <c r="L54" s="202">
        <f t="shared" si="12"/>
        <v>3.6999999999999998E-2</v>
      </c>
      <c r="M54" s="203">
        <f t="shared" si="13"/>
        <v>3.6999999999999998E-2</v>
      </c>
      <c r="N54" s="204">
        <f t="shared" si="14"/>
        <v>3.6999999999999998E-2</v>
      </c>
    </row>
    <row r="55" spans="1:16" ht="16.5" thickBot="1" x14ac:dyDescent="0.3">
      <c r="A55" s="209">
        <v>50</v>
      </c>
      <c r="B55" s="210" t="s">
        <v>286</v>
      </c>
      <c r="C55" s="210" t="s">
        <v>378</v>
      </c>
      <c r="D55" s="438">
        <v>0.2</v>
      </c>
      <c r="E55" s="438">
        <v>0.2</v>
      </c>
      <c r="F55" s="438">
        <v>0.2</v>
      </c>
      <c r="G55" s="438">
        <v>0.2</v>
      </c>
      <c r="H55" s="438">
        <v>0.2</v>
      </c>
      <c r="I55" s="211">
        <v>1.7999999999999999E-2</v>
      </c>
      <c r="J55" s="212">
        <f>I55*D55</f>
        <v>3.5999999999999999E-3</v>
      </c>
      <c r="K55" s="213">
        <f>E55*I55</f>
        <v>3.5999999999999999E-3</v>
      </c>
      <c r="L55" s="212">
        <f>F55*I55</f>
        <v>3.5999999999999999E-3</v>
      </c>
      <c r="M55" s="213">
        <f>G55*I55</f>
        <v>3.5999999999999999E-3</v>
      </c>
      <c r="N55" s="214">
        <f>H55*I55</f>
        <v>3.5999999999999999E-3</v>
      </c>
    </row>
    <row r="56" spans="1:16" ht="16.5" thickTop="1" x14ac:dyDescent="0.25">
      <c r="A56" s="188"/>
      <c r="B56" s="188"/>
      <c r="D56" s="190"/>
      <c r="E56" s="189"/>
      <c r="F56" s="188"/>
      <c r="G56" s="188"/>
      <c r="H56" s="188"/>
      <c r="I56" s="188"/>
      <c r="J56" s="215">
        <f>SUM(J5:J55)</f>
        <v>92.779446984946247</v>
      </c>
      <c r="K56" s="190">
        <f>SUM(K7:K55)</f>
        <v>92.411983200000009</v>
      </c>
      <c r="L56" s="459">
        <f>SUM(L7:L55)-O56</f>
        <v>41.294983199999997</v>
      </c>
      <c r="M56" s="190">
        <f>SUM(M7:M55)</f>
        <v>92.083549630107527</v>
      </c>
      <c r="N56" s="190">
        <f>SUM(N7:N55)</f>
        <v>92.083019522580656</v>
      </c>
      <c r="O56" s="465">
        <f>46.069+40.2-81.495</f>
        <v>4.7740000000000009</v>
      </c>
    </row>
    <row r="57" spans="1:16" ht="15.75" x14ac:dyDescent="0.25">
      <c r="A57" s="188"/>
      <c r="B57" s="188"/>
      <c r="D57" s="187"/>
      <c r="E57" s="189"/>
      <c r="F57" s="402"/>
      <c r="G57" s="188"/>
      <c r="H57" s="188"/>
      <c r="I57" s="188"/>
      <c r="J57" s="189"/>
      <c r="K57" s="189"/>
      <c r="L57" s="189"/>
      <c r="M57" s="189"/>
      <c r="N57" s="188"/>
    </row>
    <row r="58" spans="1:16" ht="15.75" x14ac:dyDescent="0.25">
      <c r="A58" s="216" t="s">
        <v>379</v>
      </c>
      <c r="B58" s="216"/>
      <c r="C58" s="216"/>
      <c r="D58" s="217"/>
      <c r="E58" s="341" t="s">
        <v>380</v>
      </c>
      <c r="F58" s="216"/>
      <c r="G58" s="216"/>
      <c r="H58" s="406" t="s">
        <v>381</v>
      </c>
      <c r="I58" s="238">
        <v>0</v>
      </c>
      <c r="J58" s="216"/>
      <c r="K58" s="216"/>
      <c r="L58" s="224">
        <f>+IF(L40=0,F40,0)</f>
        <v>40.200000000000003</v>
      </c>
      <c r="M58" s="406" t="s">
        <v>382</v>
      </c>
      <c r="N58" s="425">
        <f>+L58*80000</f>
        <v>3216000</v>
      </c>
    </row>
    <row r="59" spans="1:16" ht="15.75" x14ac:dyDescent="0.25">
      <c r="A59" s="188"/>
      <c r="B59" s="188"/>
      <c r="C59" s="188"/>
      <c r="D59" s="187"/>
      <c r="E59" s="188"/>
      <c r="F59" s="188"/>
      <c r="G59" s="188"/>
      <c r="H59" s="188"/>
      <c r="I59" s="188"/>
      <c r="J59" s="189"/>
      <c r="K59" s="188"/>
      <c r="L59" s="188"/>
      <c r="M59" s="424"/>
      <c r="N59" s="188"/>
      <c r="P59" s="352"/>
    </row>
    <row r="60" spans="1:16" ht="15.75" x14ac:dyDescent="0.25">
      <c r="A60" s="188"/>
      <c r="C60" s="186"/>
      <c r="E60" s="191" t="s">
        <v>383</v>
      </c>
      <c r="F60" s="218"/>
      <c r="G60" s="187"/>
      <c r="H60" s="187"/>
      <c r="I60" s="188"/>
      <c r="J60" s="215">
        <f>J56</f>
        <v>92.779446984946247</v>
      </c>
      <c r="K60" s="215">
        <f>SUM(K7:K55)</f>
        <v>92.411983200000009</v>
      </c>
      <c r="L60" s="219">
        <f>SUM(L7:L55)-O56</f>
        <v>41.294983199999997</v>
      </c>
      <c r="M60" s="215">
        <f>SUM(M7:M55)</f>
        <v>92.083549630107527</v>
      </c>
      <c r="N60" s="215">
        <f>SUM(N7:N55)</f>
        <v>92.083019522580656</v>
      </c>
    </row>
    <row r="61" spans="1:16" x14ac:dyDescent="0.2">
      <c r="A61" s="220"/>
      <c r="C61" s="186"/>
      <c r="E61" s="221"/>
      <c r="F61" s="220"/>
      <c r="G61" s="220"/>
      <c r="H61" s="220"/>
      <c r="I61" s="220"/>
      <c r="J61" s="220">
        <v>2.5999999999999999E-2</v>
      </c>
      <c r="K61" s="220">
        <v>2.5999999999999999E-2</v>
      </c>
      <c r="L61" s="222">
        <v>0.02</v>
      </c>
      <c r="M61" s="220">
        <v>0.02</v>
      </c>
      <c r="N61" s="220">
        <v>0.02</v>
      </c>
    </row>
    <row r="62" spans="1:16" ht="15.75" x14ac:dyDescent="0.25">
      <c r="A62" s="188"/>
      <c r="C62" s="186"/>
      <c r="E62" s="191" t="s">
        <v>384</v>
      </c>
      <c r="F62" s="218"/>
      <c r="G62" s="187"/>
      <c r="H62" s="187"/>
      <c r="I62" s="188"/>
      <c r="J62" s="223">
        <f>J60*J61</f>
        <v>2.4122656216086025</v>
      </c>
      <c r="K62" s="223">
        <f>K60*K61</f>
        <v>2.4027115632</v>
      </c>
      <c r="L62" s="223">
        <f>L60*L61</f>
        <v>0.82589966399999992</v>
      </c>
      <c r="M62" s="223">
        <f>M60*M61</f>
        <v>1.8416709926021506</v>
      </c>
      <c r="N62" s="223">
        <f>N60*N61</f>
        <v>1.8416603904516131</v>
      </c>
    </row>
    <row r="63" spans="1:16" x14ac:dyDescent="0.2">
      <c r="A63" s="220"/>
      <c r="C63" s="186"/>
      <c r="E63" s="220"/>
      <c r="F63" s="220"/>
      <c r="G63" s="220"/>
      <c r="H63" s="220"/>
      <c r="I63" s="220"/>
      <c r="J63" s="220">
        <v>1.0999999999999999E-2</v>
      </c>
      <c r="K63" s="220">
        <v>1.0999999999999999E-2</v>
      </c>
      <c r="L63" s="222">
        <v>0.01</v>
      </c>
      <c r="M63" s="220">
        <v>0.01</v>
      </c>
      <c r="N63" s="220">
        <v>0.01</v>
      </c>
    </row>
    <row r="64" spans="1:16" ht="15.75" x14ac:dyDescent="0.25">
      <c r="A64" s="188"/>
      <c r="C64" s="186"/>
      <c r="E64" s="187" t="s">
        <v>385</v>
      </c>
      <c r="F64" s="188"/>
      <c r="G64" s="188"/>
      <c r="H64" s="187"/>
      <c r="I64" s="188"/>
      <c r="J64" s="223">
        <f>J60*J63</f>
        <v>1.0205739168344086</v>
      </c>
      <c r="K64" s="223">
        <f>K60*K63</f>
        <v>1.0165318152</v>
      </c>
      <c r="L64" s="224">
        <f>L60*L63</f>
        <v>0.41294983199999996</v>
      </c>
      <c r="M64" s="223">
        <f>M60*M63</f>
        <v>0.92083549630107531</v>
      </c>
      <c r="N64" s="223">
        <f>N60*N63</f>
        <v>0.92083019522580656</v>
      </c>
    </row>
    <row r="65" spans="1:14" ht="15" x14ac:dyDescent="0.2">
      <c r="A65" s="188"/>
      <c r="C65" s="186"/>
    </row>
    <row r="66" spans="1:14" ht="15.75" x14ac:dyDescent="0.25">
      <c r="A66" s="188"/>
      <c r="C66" s="186"/>
      <c r="E66" s="187" t="s">
        <v>386</v>
      </c>
      <c r="F66" s="218"/>
      <c r="G66" s="187"/>
      <c r="H66" s="187"/>
      <c r="I66" s="188"/>
      <c r="J66" s="215">
        <f>0.07+0.01+0.06</f>
        <v>0.14000000000000001</v>
      </c>
      <c r="K66" s="215">
        <f>0.07+0.01+0.06</f>
        <v>0.14000000000000001</v>
      </c>
      <c r="L66" s="215">
        <f>0.07+0.01+0.06</f>
        <v>0.14000000000000001</v>
      </c>
      <c r="M66" s="215">
        <f>0.07+0.01+0.06</f>
        <v>0.14000000000000001</v>
      </c>
      <c r="N66" s="215">
        <f>0.07+0.01+0.06</f>
        <v>0.14000000000000001</v>
      </c>
    </row>
    <row r="67" spans="1:14" ht="15.75" x14ac:dyDescent="0.25">
      <c r="A67" s="188"/>
      <c r="C67" s="186"/>
      <c r="E67" s="191"/>
      <c r="F67" s="218"/>
      <c r="G67" s="187"/>
      <c r="H67" s="187"/>
      <c r="I67" s="188"/>
      <c r="J67" s="225">
        <f>J60+J62+SUM(J64:J66)</f>
        <v>96.352286523389253</v>
      </c>
      <c r="K67" s="225">
        <f>K60+K62+SUM(K64:K66)</f>
        <v>95.971226578400007</v>
      </c>
      <c r="L67" s="225">
        <f>L60+L62+SUM(L64:L66)</f>
        <v>42.673832695999998</v>
      </c>
      <c r="M67" s="225">
        <f>M60+M62+SUM(M64:M66)</f>
        <v>94.986056119010755</v>
      </c>
      <c r="N67" s="225">
        <f>N60+N62+SUM(N64:N66)</f>
        <v>94.985510108258069</v>
      </c>
    </row>
    <row r="68" spans="1:14" ht="15.75" x14ac:dyDescent="0.25">
      <c r="A68" s="188"/>
      <c r="C68" s="186"/>
      <c r="E68" s="187"/>
      <c r="F68" s="218"/>
      <c r="G68" s="187"/>
      <c r="H68" s="187"/>
      <c r="I68" s="188"/>
      <c r="J68" s="226"/>
      <c r="K68" s="226"/>
      <c r="L68" s="226"/>
      <c r="M68" s="226"/>
      <c r="N68" s="226"/>
    </row>
    <row r="69" spans="1:14" ht="15.75" x14ac:dyDescent="0.25">
      <c r="A69" s="188"/>
      <c r="C69" s="186"/>
      <c r="E69" s="216" t="s">
        <v>387</v>
      </c>
      <c r="F69" s="218"/>
      <c r="G69" s="187"/>
      <c r="H69" s="187"/>
      <c r="I69" s="188"/>
      <c r="J69" s="227">
        <v>8.6</v>
      </c>
      <c r="K69" s="227">
        <v>8.6</v>
      </c>
      <c r="L69" s="228">
        <v>8.3000000000000007</v>
      </c>
      <c r="M69" s="228">
        <v>8.3000000000000007</v>
      </c>
      <c r="N69" s="228">
        <v>8.15</v>
      </c>
    </row>
    <row r="70" spans="1:14" ht="15.75" x14ac:dyDescent="0.25">
      <c r="A70" s="188"/>
      <c r="C70" s="186"/>
      <c r="E70" s="187"/>
      <c r="F70" s="229"/>
      <c r="G70" s="187"/>
      <c r="H70" s="187"/>
      <c r="I70" s="188"/>
      <c r="J70" s="230" t="s">
        <v>388</v>
      </c>
      <c r="K70" s="231" t="s">
        <v>389</v>
      </c>
      <c r="L70" s="231" t="s">
        <v>390</v>
      </c>
      <c r="M70" s="231" t="s">
        <v>391</v>
      </c>
      <c r="N70" s="231" t="s">
        <v>392</v>
      </c>
    </row>
    <row r="71" spans="1:14" ht="15.75" x14ac:dyDescent="0.25">
      <c r="A71" s="188"/>
      <c r="C71" s="186"/>
      <c r="E71" s="187" t="s">
        <v>393</v>
      </c>
      <c r="F71" s="232"/>
      <c r="G71" s="188">
        <v>8.3000000000000007</v>
      </c>
      <c r="H71" s="292" t="s">
        <v>295</v>
      </c>
      <c r="I71" s="188">
        <v>8.3000000000000007</v>
      </c>
      <c r="J71" s="223">
        <f>0.2049*8.6</f>
        <v>1.7621399999999998</v>
      </c>
      <c r="K71" s="223">
        <f>0.2049*8.6</f>
        <v>1.7621399999999998</v>
      </c>
      <c r="L71" s="224">
        <f>0.2049*I71</f>
        <v>1.7006700000000001</v>
      </c>
      <c r="M71" s="223">
        <f>0.2049*8.3</f>
        <v>1.7006700000000001</v>
      </c>
      <c r="N71" s="223">
        <f>0.2049*8.15</f>
        <v>1.6699350000000002</v>
      </c>
    </row>
    <row r="72" spans="1:14" ht="15.75" x14ac:dyDescent="0.25">
      <c r="C72" s="186"/>
      <c r="D72" s="187" t="s">
        <v>394</v>
      </c>
      <c r="E72" s="187" t="s">
        <v>395</v>
      </c>
      <c r="F72" s="232"/>
      <c r="G72" s="188">
        <v>8.3000000000000007</v>
      </c>
      <c r="H72" s="292" t="s">
        <v>295</v>
      </c>
      <c r="I72" s="188">
        <v>8.3000000000000007</v>
      </c>
      <c r="J72" s="223">
        <f>0.0175*8.6</f>
        <v>0.15049999999999999</v>
      </c>
      <c r="K72" s="223">
        <f>0.0175*8.6</f>
        <v>0.15049999999999999</v>
      </c>
      <c r="L72" s="224">
        <f>0.0175*I72</f>
        <v>0.14525000000000002</v>
      </c>
      <c r="M72" s="223">
        <f>0.0175*8.3</f>
        <v>0.14525000000000002</v>
      </c>
      <c r="N72" s="223">
        <f>0.0175*8.15</f>
        <v>0.14262500000000003</v>
      </c>
    </row>
    <row r="73" spans="1:14" ht="15.75" x14ac:dyDescent="0.25">
      <c r="C73" s="186"/>
      <c r="D73" s="187" t="s">
        <v>394</v>
      </c>
      <c r="E73" s="187" t="s">
        <v>396</v>
      </c>
      <c r="F73" s="232"/>
      <c r="G73" s="188">
        <v>8.3000000000000007</v>
      </c>
      <c r="H73" s="292" t="s">
        <v>295</v>
      </c>
      <c r="I73" s="188">
        <v>8.3000000000000007</v>
      </c>
      <c r="J73" s="223">
        <f>0.0355*8.6</f>
        <v>0.30529999999999996</v>
      </c>
      <c r="K73" s="223">
        <f>0.0355*8.6</f>
        <v>0.30529999999999996</v>
      </c>
      <c r="L73" s="224">
        <f>0.0355*I73</f>
        <v>0.29465000000000002</v>
      </c>
      <c r="M73" s="223">
        <f>0.0355*8.3</f>
        <v>0.29465000000000002</v>
      </c>
      <c r="N73" s="223">
        <f>0.0355*8.15</f>
        <v>0.289325</v>
      </c>
    </row>
    <row r="74" spans="1:14" ht="15.75" x14ac:dyDescent="0.25">
      <c r="C74" s="186"/>
      <c r="D74" s="188"/>
      <c r="E74" s="187" t="s">
        <v>397</v>
      </c>
      <c r="F74" s="232"/>
      <c r="G74" s="188">
        <v>8.3000000000000007</v>
      </c>
      <c r="H74" s="292" t="s">
        <v>295</v>
      </c>
      <c r="I74" s="188">
        <v>8.3000000000000007</v>
      </c>
      <c r="J74" s="223">
        <f>0*8.6</f>
        <v>0</v>
      </c>
      <c r="K74" s="223">
        <f>0*8.6</f>
        <v>0</v>
      </c>
      <c r="L74" s="224">
        <f>0*I74</f>
        <v>0</v>
      </c>
      <c r="M74" s="223">
        <f>0*8.3</f>
        <v>0</v>
      </c>
      <c r="N74" s="223">
        <f>0*8.15</f>
        <v>0</v>
      </c>
    </row>
    <row r="75" spans="1:14" ht="15.75" x14ac:dyDescent="0.25">
      <c r="C75" s="186"/>
      <c r="D75" s="188"/>
      <c r="E75" s="187" t="s">
        <v>398</v>
      </c>
      <c r="F75" s="233"/>
      <c r="G75" s="188">
        <v>8.3000000000000007</v>
      </c>
      <c r="H75" s="292" t="s">
        <v>295</v>
      </c>
      <c r="I75" s="188">
        <v>8.3000000000000007</v>
      </c>
      <c r="J75" s="223">
        <f>0.034*8.6</f>
        <v>0.29239999999999999</v>
      </c>
      <c r="K75" s="223">
        <f>0.034*8.6</f>
        <v>0.29239999999999999</v>
      </c>
      <c r="L75" s="224">
        <f>0.034*I75</f>
        <v>0.28220000000000006</v>
      </c>
      <c r="M75" s="223">
        <f>0.034*8.3</f>
        <v>0.28220000000000006</v>
      </c>
      <c r="N75" s="223">
        <f>0.034*8.15</f>
        <v>0.27710000000000001</v>
      </c>
    </row>
    <row r="76" spans="1:14" ht="15.75" x14ac:dyDescent="0.25">
      <c r="C76" s="186"/>
      <c r="D76" s="187" t="s">
        <v>399</v>
      </c>
      <c r="E76" s="187" t="s">
        <v>400</v>
      </c>
      <c r="F76" s="233"/>
      <c r="G76" s="188">
        <v>8.3000000000000007</v>
      </c>
      <c r="H76" s="292" t="s">
        <v>295</v>
      </c>
      <c r="I76" s="188">
        <v>8.3000000000000007</v>
      </c>
      <c r="J76" s="223">
        <f>0.014*8.6</f>
        <v>0.12039999999999999</v>
      </c>
      <c r="K76" s="223">
        <f>0.014*8.6</f>
        <v>0.12039999999999999</v>
      </c>
      <c r="L76" s="224">
        <f>0.014*I76</f>
        <v>0.11620000000000001</v>
      </c>
      <c r="M76" s="223">
        <f>0.014*8.3</f>
        <v>0.11620000000000001</v>
      </c>
      <c r="N76" s="223">
        <f>0.014*8.15</f>
        <v>0.11410000000000001</v>
      </c>
    </row>
    <row r="77" spans="1:14" ht="15.75" x14ac:dyDescent="0.25">
      <c r="A77" s="188"/>
      <c r="C77" s="186"/>
      <c r="E77" s="187" t="s">
        <v>401</v>
      </c>
      <c r="F77" s="218"/>
      <c r="G77" s="187"/>
      <c r="H77" s="187"/>
      <c r="I77" s="188"/>
      <c r="J77" s="234">
        <f>SUM(J71:J76)</f>
        <v>2.6307400000000003</v>
      </c>
      <c r="K77" s="234">
        <f>SUM(K71:K76)</f>
        <v>2.6307400000000003</v>
      </c>
      <c r="L77" s="234">
        <f>SUM(L71:L76)</f>
        <v>2.5389700000000004</v>
      </c>
      <c r="M77" s="234">
        <f>SUM(M71:M76)</f>
        <v>2.5389700000000004</v>
      </c>
      <c r="N77" s="234">
        <f>SUM(N71:N76)</f>
        <v>2.4930850000000002</v>
      </c>
    </row>
    <row r="78" spans="1:14" ht="15.75" x14ac:dyDescent="0.25">
      <c r="A78" s="188"/>
      <c r="C78" s="186"/>
      <c r="E78" s="187"/>
      <c r="F78" s="218"/>
      <c r="G78" s="187"/>
      <c r="H78" s="187"/>
      <c r="I78" s="188"/>
      <c r="J78" s="215"/>
      <c r="K78" s="215"/>
      <c r="L78" s="215"/>
      <c r="M78" s="215"/>
      <c r="N78" s="215"/>
    </row>
    <row r="79" spans="1:14" ht="15.75" x14ac:dyDescent="0.25">
      <c r="A79" s="188"/>
      <c r="C79" s="186"/>
      <c r="E79" s="187" t="s">
        <v>402</v>
      </c>
      <c r="F79" s="218"/>
      <c r="G79" s="187"/>
      <c r="H79" s="293">
        <v>7.6</v>
      </c>
      <c r="I79" s="188"/>
      <c r="J79" s="215">
        <f>J67+J77</f>
        <v>98.983026523389256</v>
      </c>
      <c r="K79" s="215">
        <f>K67+K77</f>
        <v>98.60196657840001</v>
      </c>
      <c r="L79" s="215">
        <f>L67+L77</f>
        <v>45.212802695999997</v>
      </c>
      <c r="M79" s="215">
        <f>M67+M77</f>
        <v>97.525026119010761</v>
      </c>
      <c r="N79" s="215">
        <f>N67+N77</f>
        <v>97.478595108258062</v>
      </c>
    </row>
    <row r="80" spans="1:14" ht="15.75" x14ac:dyDescent="0.25">
      <c r="A80" s="235"/>
      <c r="C80" s="186"/>
      <c r="E80" s="236"/>
      <c r="F80" s="236"/>
      <c r="G80" s="236"/>
      <c r="H80" s="293">
        <v>7.6</v>
      </c>
      <c r="I80" s="235"/>
      <c r="J80" s="237">
        <v>2.4E-2</v>
      </c>
      <c r="K80" s="237">
        <v>2.4E-2</v>
      </c>
      <c r="L80" s="447">
        <v>0.02</v>
      </c>
      <c r="M80" s="237">
        <v>0.02</v>
      </c>
      <c r="N80" s="237">
        <v>0.02</v>
      </c>
    </row>
    <row r="81" spans="1:14" ht="15.75" x14ac:dyDescent="0.25">
      <c r="A81" s="188"/>
      <c r="C81" s="186"/>
      <c r="E81" s="191" t="s">
        <v>403</v>
      </c>
      <c r="F81" s="218"/>
      <c r="G81" s="187"/>
      <c r="H81" s="293">
        <v>7.6</v>
      </c>
      <c r="I81" s="188"/>
      <c r="J81" s="215">
        <f>J79*J80</f>
        <v>2.375592636561342</v>
      </c>
      <c r="K81" s="215">
        <f>K79*0.024</f>
        <v>2.3664471978816004</v>
      </c>
      <c r="L81" s="215">
        <f>L79*L80</f>
        <v>0.90425605391999997</v>
      </c>
      <c r="M81" s="215">
        <f>M79*0.02</f>
        <v>1.9505005223802152</v>
      </c>
      <c r="N81" s="215">
        <f>N79*0.02</f>
        <v>1.9495719021651612</v>
      </c>
    </row>
    <row r="82" spans="1:14" ht="15.75" x14ac:dyDescent="0.25">
      <c r="A82" s="188"/>
      <c r="C82" s="186"/>
      <c r="E82" s="191"/>
      <c r="F82" s="218"/>
      <c r="G82" s="187"/>
      <c r="H82" s="293">
        <v>7.6</v>
      </c>
      <c r="I82" s="188"/>
      <c r="J82" s="215"/>
      <c r="K82" s="215"/>
      <c r="L82" s="215"/>
      <c r="M82" s="215"/>
      <c r="N82" s="215"/>
    </row>
    <row r="83" spans="1:14" ht="15.75" x14ac:dyDescent="0.25">
      <c r="A83" s="188"/>
      <c r="C83" s="186"/>
      <c r="E83" s="187" t="s">
        <v>404</v>
      </c>
      <c r="F83" s="218"/>
      <c r="G83" s="187"/>
      <c r="H83" s="293">
        <v>7.6</v>
      </c>
      <c r="I83" s="188"/>
      <c r="J83" s="223">
        <f>+PCA!J87</f>
        <v>36.949500639999997</v>
      </c>
      <c r="K83" s="223">
        <f>+PCA!K87</f>
        <v>36.949500639999997</v>
      </c>
      <c r="L83" s="223">
        <f>+PCA!L87</f>
        <v>18.848684203680001</v>
      </c>
      <c r="M83" s="223">
        <f>+PCA!M87</f>
        <v>36.434184500000001</v>
      </c>
      <c r="N83" s="223">
        <f>+PCA!N87</f>
        <v>36.434184500000001</v>
      </c>
    </row>
    <row r="84" spans="1:14" ht="15.75" x14ac:dyDescent="0.25">
      <c r="A84" s="188"/>
      <c r="C84" s="186"/>
      <c r="E84" s="238"/>
      <c r="F84" s="218"/>
      <c r="G84" s="187"/>
      <c r="H84" s="293">
        <v>7.6</v>
      </c>
      <c r="I84" s="188"/>
      <c r="J84" s="215"/>
      <c r="K84" s="215"/>
      <c r="L84" s="219"/>
      <c r="M84" s="215"/>
      <c r="N84" s="215"/>
    </row>
    <row r="85" spans="1:14" ht="15.75" x14ac:dyDescent="0.25">
      <c r="A85" s="188"/>
      <c r="C85" s="186"/>
      <c r="E85" s="187" t="s">
        <v>405</v>
      </c>
      <c r="F85" s="218"/>
      <c r="G85" s="187"/>
      <c r="H85" s="187"/>
      <c r="I85" s="188"/>
      <c r="J85" s="215">
        <f>J81+J79+J83</f>
        <v>138.30811979995059</v>
      </c>
      <c r="K85" s="215">
        <f>K81+K79+K83</f>
        <v>137.9179144162816</v>
      </c>
      <c r="L85" s="215">
        <f>L81+L79+L83</f>
        <v>64.9657429536</v>
      </c>
      <c r="M85" s="215">
        <f>M81+M79+M83</f>
        <v>135.90971114139097</v>
      </c>
      <c r="N85" s="215">
        <f>N81+N79+N83</f>
        <v>135.86235151042322</v>
      </c>
    </row>
    <row r="86" spans="1:14" ht="15.75" x14ac:dyDescent="0.25">
      <c r="A86" s="187"/>
      <c r="C86" s="186"/>
      <c r="E86" s="239"/>
      <c r="F86" s="188"/>
      <c r="G86" s="187"/>
      <c r="H86" s="187"/>
      <c r="I86" s="187"/>
      <c r="J86" s="215"/>
      <c r="K86" s="240"/>
      <c r="L86" s="455">
        <f>+L87-L66-L72-L73</f>
        <v>4.2421755499200007</v>
      </c>
      <c r="M86" s="240"/>
      <c r="N86" s="240"/>
    </row>
    <row r="87" spans="1:14" ht="15.75" x14ac:dyDescent="0.25">
      <c r="A87" s="188"/>
      <c r="C87" s="186"/>
      <c r="E87" s="187" t="s">
        <v>406</v>
      </c>
      <c r="F87" s="187"/>
      <c r="G87" s="187"/>
      <c r="H87" s="187"/>
      <c r="I87" s="187"/>
      <c r="J87" s="218">
        <f>J62+J64+J71+J75+J76+J81</f>
        <v>7.9833721750043534</v>
      </c>
      <c r="K87" s="218">
        <f>K62+K64+K71+K75+K76+K81</f>
        <v>7.9606305762816003</v>
      </c>
      <c r="L87" s="241">
        <f>L62+L64+L66+L71+L72+L73+L75+L76+L81</f>
        <v>4.8220755499200001</v>
      </c>
      <c r="M87" s="218">
        <f>M62+M64+M71+M75+M76+M81</f>
        <v>6.8120770112834421</v>
      </c>
      <c r="N87" s="218">
        <f>N62+N64+N71+N75+N76+N81</f>
        <v>6.7731974878425802</v>
      </c>
    </row>
    <row r="88" spans="1:14" x14ac:dyDescent="0.2">
      <c r="C88" s="186"/>
      <c r="E88" s="216"/>
      <c r="F88" s="216"/>
      <c r="G88" s="216"/>
      <c r="H88" s="216"/>
      <c r="I88" s="216"/>
      <c r="J88" s="228">
        <f>+J62+J64+J66+J77+J81</f>
        <v>8.5791721750043539</v>
      </c>
      <c r="K88" s="228">
        <f>+K62+K64+K66+K77+K81</f>
        <v>8.5564305762816009</v>
      </c>
      <c r="L88" s="228">
        <f>+L62+L64+L66+L77+L81</f>
        <v>4.8220755499200001</v>
      </c>
      <c r="M88" s="228">
        <f>+M62+M64+M66+M77+M81</f>
        <v>7.3919770112834424</v>
      </c>
      <c r="N88" s="228">
        <f>+N62+N64+N66+N77+N81</f>
        <v>7.3451474878425813</v>
      </c>
    </row>
    <row r="89" spans="1:14" x14ac:dyDescent="0.2">
      <c r="C89" s="186"/>
      <c r="E89" s="217" t="s">
        <v>407</v>
      </c>
      <c r="F89" s="216"/>
      <c r="G89" s="216"/>
      <c r="H89" s="216"/>
      <c r="I89" s="216"/>
      <c r="J89" s="242"/>
      <c r="K89" s="216"/>
      <c r="L89" s="216"/>
      <c r="M89" s="216"/>
      <c r="N89" s="216"/>
    </row>
    <row r="90" spans="1:14" x14ac:dyDescent="0.2">
      <c r="A90" s="57"/>
      <c r="C90" s="186"/>
      <c r="E90" s="217" t="s">
        <v>395</v>
      </c>
      <c r="F90" s="216"/>
      <c r="G90" s="216"/>
      <c r="H90" s="216"/>
      <c r="I90" s="216"/>
      <c r="J90" s="243">
        <f>0.0175*9.35</f>
        <v>0.16362500000000002</v>
      </c>
      <c r="K90" s="243">
        <f>0.0175*9.35</f>
        <v>0.16362500000000002</v>
      </c>
      <c r="L90" s="244">
        <v>0</v>
      </c>
      <c r="M90" s="243">
        <f>0.0175*9.35</f>
        <v>0.16362500000000002</v>
      </c>
      <c r="N90" s="243">
        <f>0.0175*9.35</f>
        <v>0.16362500000000002</v>
      </c>
    </row>
    <row r="91" spans="1:14" x14ac:dyDescent="0.2">
      <c r="C91" s="186"/>
      <c r="E91" s="217" t="s">
        <v>396</v>
      </c>
      <c r="J91" s="243">
        <f>0.0355*9.35</f>
        <v>0.33192499999999997</v>
      </c>
      <c r="K91" s="243">
        <f>0.0355*9.35</f>
        <v>0.33192499999999997</v>
      </c>
      <c r="L91" s="244">
        <v>0</v>
      </c>
      <c r="M91" s="243">
        <f>0.0355*9.35</f>
        <v>0.33192499999999997</v>
      </c>
      <c r="N91" s="243">
        <f>0.0355*9.35</f>
        <v>0.33192499999999997</v>
      </c>
    </row>
    <row r="92" spans="1:14" x14ac:dyDescent="0.2">
      <c r="C92" s="186"/>
      <c r="E92" s="217" t="s">
        <v>408</v>
      </c>
      <c r="J92" s="245">
        <f>SUM(J90:J91)</f>
        <v>0.49554999999999999</v>
      </c>
      <c r="K92" s="245">
        <f>SUM(K90:K91)</f>
        <v>0.49554999999999999</v>
      </c>
      <c r="L92" s="245">
        <f>SUM(L90:L91)</f>
        <v>0</v>
      </c>
      <c r="M92" s="245">
        <f>SUM(M90:M91)</f>
        <v>0.49554999999999999</v>
      </c>
      <c r="N92" s="245">
        <f>SUM(N90:N91)</f>
        <v>0.49554999999999999</v>
      </c>
    </row>
    <row r="93" spans="1:14" x14ac:dyDescent="0.2">
      <c r="C93" s="186"/>
      <c r="E93" s="217" t="s">
        <v>409</v>
      </c>
      <c r="J93" s="245">
        <f>J92*0.024</f>
        <v>1.18932E-2</v>
      </c>
      <c r="K93" s="245">
        <f>K92*0.024</f>
        <v>1.18932E-2</v>
      </c>
      <c r="L93" s="245">
        <f>L92*0.024</f>
        <v>0</v>
      </c>
      <c r="M93" s="245">
        <f>M92*0.024</f>
        <v>1.18932E-2</v>
      </c>
      <c r="N93" s="245">
        <f>N92*0.024</f>
        <v>1.18932E-2</v>
      </c>
    </row>
    <row r="94" spans="1:14" x14ac:dyDescent="0.2">
      <c r="C94" s="186"/>
      <c r="E94" s="57" t="s">
        <v>410</v>
      </c>
      <c r="J94" s="246">
        <f>J93+J92</f>
        <v>0.50744319999999998</v>
      </c>
      <c r="K94" s="246">
        <f>K93+K92</f>
        <v>0.50744319999999998</v>
      </c>
      <c r="L94" s="246">
        <f>L93+L92</f>
        <v>0</v>
      </c>
      <c r="M94" s="246">
        <f>M93+M92</f>
        <v>0.50744319999999998</v>
      </c>
      <c r="N94" s="246">
        <f>N93+N92</f>
        <v>0.50744319999999998</v>
      </c>
    </row>
    <row r="95" spans="1:14" x14ac:dyDescent="0.2">
      <c r="C95" s="186"/>
      <c r="E95" s="247"/>
      <c r="J95" s="186"/>
      <c r="K95" s="186"/>
      <c r="L95" s="186"/>
      <c r="M95" s="186"/>
      <c r="N95" s="186"/>
    </row>
    <row r="96" spans="1:14" x14ac:dyDescent="0.2">
      <c r="C96" s="186"/>
      <c r="E96" s="57" t="s">
        <v>411</v>
      </c>
      <c r="J96" s="246">
        <f>J85-J94</f>
        <v>137.80067659995058</v>
      </c>
      <c r="K96" s="246">
        <f>K85-K94</f>
        <v>137.41047121628159</v>
      </c>
      <c r="L96" s="246">
        <f>L85-L94</f>
        <v>64.9657429536</v>
      </c>
      <c r="M96" s="246">
        <f>M85-M94</f>
        <v>135.40226794139096</v>
      </c>
      <c r="N96" s="246">
        <f>N85-N94</f>
        <v>135.35490831042321</v>
      </c>
    </row>
    <row r="97" spans="3:14" x14ac:dyDescent="0.2">
      <c r="C97" s="186"/>
      <c r="J97" s="186"/>
    </row>
    <row r="98" spans="3:14" x14ac:dyDescent="0.2">
      <c r="C98" s="186"/>
      <c r="D98" s="248" t="s">
        <v>412</v>
      </c>
      <c r="E98" s="216" t="s">
        <v>413</v>
      </c>
      <c r="F98" s="216"/>
      <c r="G98" s="216"/>
      <c r="H98" s="216"/>
      <c r="I98" s="216"/>
      <c r="J98" s="242">
        <v>154.34</v>
      </c>
      <c r="K98" s="249">
        <v>154.31</v>
      </c>
      <c r="L98" s="249">
        <v>154.31</v>
      </c>
      <c r="M98" s="249">
        <v>154.31</v>
      </c>
      <c r="N98" s="249">
        <v>154.31</v>
      </c>
    </row>
    <row r="99" spans="3:14" x14ac:dyDescent="0.2">
      <c r="C99" s="186"/>
      <c r="E99" s="216"/>
      <c r="F99" s="216"/>
      <c r="G99" s="216"/>
      <c r="H99" s="216"/>
      <c r="I99" s="216"/>
      <c r="J99" s="249"/>
      <c r="K99" s="249"/>
      <c r="L99" s="249"/>
      <c r="M99" s="249"/>
      <c r="N99" s="249"/>
    </row>
    <row r="100" spans="3:14" x14ac:dyDescent="0.2">
      <c r="C100" s="186"/>
      <c r="E100" s="216" t="s">
        <v>414</v>
      </c>
      <c r="F100" s="216"/>
      <c r="G100" s="216"/>
      <c r="H100" s="216"/>
      <c r="I100" s="216"/>
      <c r="J100" s="249">
        <f>J98-J96</f>
        <v>16.539323400049426</v>
      </c>
      <c r="K100" s="249">
        <f>K98-K96</f>
        <v>16.899528783718409</v>
      </c>
      <c r="L100" s="249">
        <f>L98-L96</f>
        <v>89.344257046400003</v>
      </c>
      <c r="M100" s="249">
        <f>M98-M96</f>
        <v>18.907732058609042</v>
      </c>
      <c r="N100" s="249">
        <f>N98-N96</f>
        <v>18.95509168957679</v>
      </c>
    </row>
  </sheetData>
  <printOptions gridLines="1" gridLinesSet="0"/>
  <pageMargins left="0.75" right="0.75" top="1" bottom="1" header="0.511811024" footer="0.511811024"/>
  <pageSetup scale="60" fitToHeight="2" orientation="landscape" r:id="rId1"/>
  <headerFooter alignWithMargins="0">
    <oddHeader>&amp;A</oddHeader>
    <oddFooter>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"/>
  <sheetViews>
    <sheetView topLeftCell="D80" zoomScale="75" workbookViewId="0">
      <selection activeCell="H58" sqref="H58"/>
    </sheetView>
  </sheetViews>
  <sheetFormatPr baseColWidth="10" defaultRowHeight="12.75" x14ac:dyDescent="0.2"/>
  <cols>
    <col min="1" max="1" width="11.42578125" customWidth="1"/>
    <col min="2" max="2" width="13" customWidth="1"/>
    <col min="3" max="11" width="11.42578125" customWidth="1"/>
    <col min="12" max="12" width="12.5703125" customWidth="1"/>
  </cols>
  <sheetData>
    <row r="1" spans="1:14" x14ac:dyDescent="0.2">
      <c r="A1" s="217" t="s">
        <v>415</v>
      </c>
      <c r="B1" s="217"/>
      <c r="C1" s="217"/>
      <c r="D1" s="217"/>
      <c r="E1" s="216"/>
      <c r="F1" s="216"/>
      <c r="G1" s="216"/>
      <c r="H1" s="216"/>
      <c r="I1" s="216"/>
      <c r="J1" s="250"/>
      <c r="K1" s="216"/>
      <c r="L1" s="216"/>
      <c r="M1" s="216"/>
      <c r="N1" s="216"/>
    </row>
    <row r="2" spans="1:14" x14ac:dyDescent="0.2">
      <c r="A2" s="217" t="s">
        <v>416</v>
      </c>
      <c r="B2" s="217"/>
      <c r="C2" s="217"/>
      <c r="D2" s="217"/>
      <c r="E2" s="216"/>
      <c r="F2" s="216"/>
      <c r="G2" s="216"/>
      <c r="H2" s="216"/>
      <c r="I2" s="216"/>
      <c r="J2" s="251"/>
      <c r="K2" s="216"/>
      <c r="L2" s="216"/>
      <c r="M2" s="216"/>
      <c r="N2" s="216"/>
    </row>
    <row r="3" spans="1:14" x14ac:dyDescent="0.2">
      <c r="A3" s="252" t="s">
        <v>417</v>
      </c>
      <c r="B3" s="217"/>
      <c r="C3" s="217"/>
      <c r="D3" s="217"/>
      <c r="E3" s="216"/>
      <c r="F3" s="216"/>
      <c r="G3" s="216"/>
      <c r="H3" s="216"/>
      <c r="I3" s="216"/>
      <c r="J3" s="251"/>
      <c r="K3" s="216"/>
      <c r="L3" s="216"/>
      <c r="M3" s="216"/>
      <c r="N3" s="216"/>
    </row>
    <row r="4" spans="1:14" ht="13.5" thickBot="1" x14ac:dyDescent="0.25">
      <c r="A4" s="252" t="s">
        <v>418</v>
      </c>
      <c r="B4" s="217"/>
      <c r="C4" s="217"/>
      <c r="D4" s="248" t="s">
        <v>334</v>
      </c>
      <c r="E4" s="248" t="s">
        <v>335</v>
      </c>
      <c r="F4" s="401" t="s">
        <v>336</v>
      </c>
      <c r="G4" s="248" t="s">
        <v>337</v>
      </c>
      <c r="H4" s="248" t="s">
        <v>338</v>
      </c>
      <c r="I4" s="216"/>
      <c r="J4" s="253" t="s">
        <v>334</v>
      </c>
      <c r="K4" s="248" t="s">
        <v>335</v>
      </c>
      <c r="L4" s="401" t="s">
        <v>336</v>
      </c>
      <c r="M4" s="248" t="s">
        <v>337</v>
      </c>
      <c r="N4" s="248" t="s">
        <v>338</v>
      </c>
    </row>
    <row r="5" spans="1:14" ht="14.25" thickTop="1" thickBot="1" x14ac:dyDescent="0.25">
      <c r="A5" s="254" t="s">
        <v>339</v>
      </c>
      <c r="B5" s="255" t="s">
        <v>419</v>
      </c>
      <c r="C5" s="254" t="s">
        <v>11</v>
      </c>
      <c r="D5" s="255" t="s">
        <v>341</v>
      </c>
      <c r="E5" s="255" t="s">
        <v>341</v>
      </c>
      <c r="F5" s="255" t="s">
        <v>341</v>
      </c>
      <c r="G5" s="255" t="s">
        <v>341</v>
      </c>
      <c r="H5" s="255" t="s">
        <v>341</v>
      </c>
      <c r="I5" s="255" t="s">
        <v>342</v>
      </c>
      <c r="J5" s="256" t="s">
        <v>420</v>
      </c>
      <c r="K5" s="257" t="s">
        <v>420</v>
      </c>
      <c r="L5" s="257" t="s">
        <v>420</v>
      </c>
      <c r="M5" s="257" t="s">
        <v>420</v>
      </c>
      <c r="N5" s="257" t="s">
        <v>420</v>
      </c>
    </row>
    <row r="6" spans="1:14" ht="13.5" thickTop="1" x14ac:dyDescent="0.2">
      <c r="A6" s="258">
        <v>1</v>
      </c>
      <c r="B6" s="252" t="s">
        <v>149</v>
      </c>
      <c r="C6" s="216" t="s">
        <v>421</v>
      </c>
      <c r="D6" s="259">
        <v>6.0000000000000001E-3</v>
      </c>
      <c r="E6" s="259">
        <v>6.0000000000000001E-3</v>
      </c>
      <c r="F6" s="259">
        <v>6.0000000000000001E-3</v>
      </c>
      <c r="G6" s="259">
        <v>6.0000000000000001E-3</v>
      </c>
      <c r="H6" s="259">
        <v>6.0000000000000001E-3</v>
      </c>
      <c r="I6" s="260">
        <v>8</v>
      </c>
      <c r="J6" s="261">
        <f t="shared" ref="J6:J21" si="0">I6*D6</f>
        <v>4.8000000000000001E-2</v>
      </c>
      <c r="K6" s="262">
        <f>E6*I6</f>
        <v>4.8000000000000001E-2</v>
      </c>
      <c r="L6" s="262">
        <f>F6*I6</f>
        <v>4.8000000000000001E-2</v>
      </c>
      <c r="M6" s="262">
        <f>G6*I6</f>
        <v>4.8000000000000001E-2</v>
      </c>
      <c r="N6" s="262">
        <f>H6*I6</f>
        <v>4.8000000000000001E-2</v>
      </c>
    </row>
    <row r="7" spans="1:14" x14ac:dyDescent="0.2">
      <c r="A7" s="258">
        <f>$A$6+1</f>
        <v>2</v>
      </c>
      <c r="B7" s="252" t="s">
        <v>152</v>
      </c>
      <c r="C7" s="216" t="s">
        <v>422</v>
      </c>
      <c r="D7" s="259">
        <v>6.0000000000000001E-3</v>
      </c>
      <c r="E7" s="259">
        <v>6.0000000000000001E-3</v>
      </c>
      <c r="F7" s="259">
        <v>6.0000000000000001E-3</v>
      </c>
      <c r="G7" s="259">
        <v>6.0000000000000001E-3</v>
      </c>
      <c r="H7" s="259">
        <v>6.0000000000000001E-3</v>
      </c>
      <c r="I7" s="260">
        <v>2</v>
      </c>
      <c r="J7" s="261">
        <f t="shared" si="0"/>
        <v>1.2E-2</v>
      </c>
      <c r="K7" s="262">
        <f>E7*I7</f>
        <v>1.2E-2</v>
      </c>
      <c r="L7" s="262">
        <f>F7*I7</f>
        <v>1.2E-2</v>
      </c>
      <c r="M7" s="262">
        <f>G7*I7</f>
        <v>1.2E-2</v>
      </c>
      <c r="N7" s="262">
        <f>H7*I7</f>
        <v>1.2E-2</v>
      </c>
    </row>
    <row r="8" spans="1:14" x14ac:dyDescent="0.2">
      <c r="A8" s="258">
        <f>$A$7+1</f>
        <v>3</v>
      </c>
      <c r="B8" s="252" t="s">
        <v>154</v>
      </c>
      <c r="C8" s="216" t="s">
        <v>423</v>
      </c>
      <c r="D8" s="259">
        <v>6.0000000000000001E-3</v>
      </c>
      <c r="E8" s="259">
        <v>6.0000000000000001E-3</v>
      </c>
      <c r="F8" s="259">
        <v>6.0000000000000001E-3</v>
      </c>
      <c r="G8" s="259">
        <v>6.0000000000000001E-3</v>
      </c>
      <c r="H8" s="259">
        <v>6.0000000000000001E-3</v>
      </c>
      <c r="I8" s="260">
        <v>1</v>
      </c>
      <c r="J8" s="261">
        <f t="shared" si="0"/>
        <v>6.0000000000000001E-3</v>
      </c>
      <c r="K8" s="262">
        <f>E8*I8</f>
        <v>6.0000000000000001E-3</v>
      </c>
      <c r="L8" s="262">
        <f>F8*I8</f>
        <v>6.0000000000000001E-3</v>
      </c>
      <c r="M8" s="262">
        <f>G8*I8</f>
        <v>6.0000000000000001E-3</v>
      </c>
      <c r="N8" s="262">
        <f>H8*I8</f>
        <v>6.0000000000000001E-3</v>
      </c>
    </row>
    <row r="9" spans="1:14" x14ac:dyDescent="0.2">
      <c r="A9" s="258">
        <f>$A$8+1</f>
        <v>4</v>
      </c>
      <c r="B9" s="252" t="s">
        <v>156</v>
      </c>
      <c r="C9" s="216" t="s">
        <v>424</v>
      </c>
      <c r="D9" s="259">
        <v>6.0000000000000001E-3</v>
      </c>
      <c r="E9" s="259">
        <v>6.0000000000000001E-3</v>
      </c>
      <c r="F9" s="259">
        <v>6.0000000000000001E-3</v>
      </c>
      <c r="G9" s="259">
        <v>6.0000000000000001E-3</v>
      </c>
      <c r="H9" s="259">
        <v>6.0000000000000001E-3</v>
      </c>
      <c r="I9" s="260">
        <v>1</v>
      </c>
      <c r="J9" s="261">
        <f t="shared" si="0"/>
        <v>6.0000000000000001E-3</v>
      </c>
      <c r="K9" s="262">
        <f>E9*I9</f>
        <v>6.0000000000000001E-3</v>
      </c>
      <c r="L9" s="262">
        <f>F9*I9</f>
        <v>6.0000000000000001E-3</v>
      </c>
      <c r="M9" s="262">
        <f>G9*I9</f>
        <v>6.0000000000000001E-3</v>
      </c>
      <c r="N9" s="262">
        <f>H9*I9</f>
        <v>6.0000000000000001E-3</v>
      </c>
    </row>
    <row r="10" spans="1:14" x14ac:dyDescent="0.2">
      <c r="A10" s="258">
        <f>$A$9+1</f>
        <v>5</v>
      </c>
      <c r="B10" s="252" t="s">
        <v>158</v>
      </c>
      <c r="C10" s="216" t="s">
        <v>425</v>
      </c>
      <c r="D10" s="259">
        <v>6.0000000000000001E-3</v>
      </c>
      <c r="E10" s="259">
        <v>6.0000000000000001E-3</v>
      </c>
      <c r="F10" s="259">
        <v>6.0000000000000001E-3</v>
      </c>
      <c r="G10" s="259">
        <v>6.0000000000000001E-3</v>
      </c>
      <c r="H10" s="259">
        <v>6.0000000000000001E-3</v>
      </c>
      <c r="I10" s="260">
        <v>3</v>
      </c>
      <c r="J10" s="261">
        <f t="shared" si="0"/>
        <v>1.8000000000000002E-2</v>
      </c>
      <c r="K10" s="262">
        <f t="shared" ref="K10:K25" si="1">E10*I10</f>
        <v>1.8000000000000002E-2</v>
      </c>
      <c r="L10" s="262">
        <f t="shared" ref="L10:L25" si="2">F10*I10</f>
        <v>1.8000000000000002E-2</v>
      </c>
      <c r="M10" s="262">
        <f t="shared" ref="M10:M25" si="3">G10*I10</f>
        <v>1.8000000000000002E-2</v>
      </c>
      <c r="N10" s="262">
        <f t="shared" ref="N10:N25" si="4">H10*I10</f>
        <v>1.8000000000000002E-2</v>
      </c>
    </row>
    <row r="11" spans="1:14" x14ac:dyDescent="0.2">
      <c r="A11" s="258">
        <f>$A$10+1</f>
        <v>6</v>
      </c>
      <c r="B11" s="252" t="s">
        <v>160</v>
      </c>
      <c r="C11" s="216" t="s">
        <v>426</v>
      </c>
      <c r="D11" s="259">
        <v>8.9999999999999993E-3</v>
      </c>
      <c r="E11" s="259">
        <v>8.9999999999999993E-3</v>
      </c>
      <c r="F11" s="259">
        <v>8.9999999999999993E-3</v>
      </c>
      <c r="G11" s="259">
        <v>8.9999999999999993E-3</v>
      </c>
      <c r="H11" s="259">
        <v>8.9999999999999993E-3</v>
      </c>
      <c r="I11" s="260">
        <v>1</v>
      </c>
      <c r="J11" s="261">
        <f t="shared" si="0"/>
        <v>8.9999999999999993E-3</v>
      </c>
      <c r="K11" s="262">
        <f t="shared" si="1"/>
        <v>8.9999999999999993E-3</v>
      </c>
      <c r="L11" s="262">
        <f t="shared" si="2"/>
        <v>8.9999999999999993E-3</v>
      </c>
      <c r="M11" s="262">
        <f t="shared" si="3"/>
        <v>8.9999999999999993E-3</v>
      </c>
      <c r="N11" s="262">
        <f t="shared" si="4"/>
        <v>8.9999999999999993E-3</v>
      </c>
    </row>
    <row r="12" spans="1:14" x14ac:dyDescent="0.2">
      <c r="A12" s="258">
        <f>$A$11+1</f>
        <v>7</v>
      </c>
      <c r="B12" s="252" t="s">
        <v>163</v>
      </c>
      <c r="C12" s="216" t="s">
        <v>427</v>
      </c>
      <c r="D12" s="259">
        <v>1.4999999999999999E-2</v>
      </c>
      <c r="E12" s="259">
        <v>1.4999999999999999E-2</v>
      </c>
      <c r="F12" s="259">
        <v>1.4999999999999999E-2</v>
      </c>
      <c r="G12" s="259">
        <v>1.4999999999999999E-2</v>
      </c>
      <c r="H12" s="259">
        <v>1.4999999999999999E-2</v>
      </c>
      <c r="I12" s="260">
        <v>3</v>
      </c>
      <c r="J12" s="261">
        <f t="shared" si="0"/>
        <v>4.4999999999999998E-2</v>
      </c>
      <c r="K12" s="262">
        <f t="shared" si="1"/>
        <v>4.4999999999999998E-2</v>
      </c>
      <c r="L12" s="262">
        <f t="shared" si="2"/>
        <v>4.4999999999999998E-2</v>
      </c>
      <c r="M12" s="262">
        <f t="shared" si="3"/>
        <v>4.4999999999999998E-2</v>
      </c>
      <c r="N12" s="262">
        <f t="shared" si="4"/>
        <v>4.4999999999999998E-2</v>
      </c>
    </row>
    <row r="13" spans="1:14" x14ac:dyDescent="0.2">
      <c r="A13" s="258">
        <f>$A$12+1</f>
        <v>8</v>
      </c>
      <c r="B13" s="252" t="s">
        <v>168</v>
      </c>
      <c r="C13" s="216" t="s">
        <v>428</v>
      </c>
      <c r="D13" s="259">
        <v>0.14000000000000001</v>
      </c>
      <c r="E13" s="259">
        <v>0.14000000000000001</v>
      </c>
      <c r="F13" s="259">
        <v>0.14000000000000001</v>
      </c>
      <c r="G13" s="259">
        <v>0.14000000000000001</v>
      </c>
      <c r="H13" s="259">
        <v>0.14000000000000001</v>
      </c>
      <c r="I13" s="260">
        <v>2</v>
      </c>
      <c r="J13" s="261">
        <f t="shared" si="0"/>
        <v>0.28000000000000003</v>
      </c>
      <c r="K13" s="262">
        <f t="shared" si="1"/>
        <v>0.28000000000000003</v>
      </c>
      <c r="L13" s="262">
        <f t="shared" si="2"/>
        <v>0.28000000000000003</v>
      </c>
      <c r="M13" s="262">
        <f t="shared" si="3"/>
        <v>0.28000000000000003</v>
      </c>
      <c r="N13" s="262">
        <f t="shared" si="4"/>
        <v>0.28000000000000003</v>
      </c>
    </row>
    <row r="14" spans="1:14" x14ac:dyDescent="0.2">
      <c r="A14" s="258">
        <f>$A$13+1</f>
        <v>9</v>
      </c>
      <c r="B14" s="252" t="s">
        <v>165</v>
      </c>
      <c r="C14" s="216" t="s">
        <v>429</v>
      </c>
      <c r="D14" s="259">
        <v>0.15</v>
      </c>
      <c r="E14" s="259">
        <v>0.15</v>
      </c>
      <c r="F14" s="259">
        <v>0.15</v>
      </c>
      <c r="G14" s="259">
        <v>0.15</v>
      </c>
      <c r="H14" s="259">
        <v>0.15</v>
      </c>
      <c r="I14" s="260">
        <v>1</v>
      </c>
      <c r="J14" s="261">
        <f t="shared" si="0"/>
        <v>0.15</v>
      </c>
      <c r="K14" s="262">
        <f t="shared" si="1"/>
        <v>0.15</v>
      </c>
      <c r="L14" s="262">
        <f t="shared" si="2"/>
        <v>0.15</v>
      </c>
      <c r="M14" s="262">
        <f t="shared" si="3"/>
        <v>0.15</v>
      </c>
      <c r="N14" s="262">
        <f t="shared" si="4"/>
        <v>0.15</v>
      </c>
    </row>
    <row r="15" spans="1:14" x14ac:dyDescent="0.2">
      <c r="A15" s="258">
        <f>$A$14+1</f>
        <v>10</v>
      </c>
      <c r="B15" s="252" t="s">
        <v>170</v>
      </c>
      <c r="C15" s="216" t="s">
        <v>430</v>
      </c>
      <c r="D15" s="440">
        <v>0.28999999999999998</v>
      </c>
      <c r="E15" s="440">
        <v>0.28999999999999998</v>
      </c>
      <c r="F15" s="440">
        <v>0.28999999999999998</v>
      </c>
      <c r="G15" s="440">
        <v>0.28999999999999998</v>
      </c>
      <c r="H15" s="440">
        <v>0.28999999999999998</v>
      </c>
      <c r="I15" s="260">
        <v>1</v>
      </c>
      <c r="J15" s="261">
        <f t="shared" si="0"/>
        <v>0.28999999999999998</v>
      </c>
      <c r="K15" s="262">
        <f t="shared" si="1"/>
        <v>0.28999999999999998</v>
      </c>
      <c r="L15" s="262">
        <f t="shared" si="2"/>
        <v>0.28999999999999998</v>
      </c>
      <c r="M15" s="262">
        <f t="shared" si="3"/>
        <v>0.28999999999999998</v>
      </c>
      <c r="N15" s="262">
        <f t="shared" si="4"/>
        <v>0.28999999999999998</v>
      </c>
    </row>
    <row r="16" spans="1:14" x14ac:dyDescent="0.2">
      <c r="A16" s="258">
        <f>$A$15+1</f>
        <v>11</v>
      </c>
      <c r="B16" s="252" t="s">
        <v>173</v>
      </c>
      <c r="C16" s="216" t="s">
        <v>431</v>
      </c>
      <c r="D16" s="259">
        <v>2E-3</v>
      </c>
      <c r="E16" s="259">
        <v>2E-3</v>
      </c>
      <c r="F16" s="259">
        <v>2E-3</v>
      </c>
      <c r="G16" s="259">
        <v>2E-3</v>
      </c>
      <c r="H16" s="259">
        <v>2E-3</v>
      </c>
      <c r="I16" s="260">
        <v>26</v>
      </c>
      <c r="J16" s="261">
        <f t="shared" si="0"/>
        <v>5.2000000000000005E-2</v>
      </c>
      <c r="K16" s="262">
        <f t="shared" si="1"/>
        <v>5.2000000000000005E-2</v>
      </c>
      <c r="L16" s="262">
        <f t="shared" si="2"/>
        <v>5.2000000000000005E-2</v>
      </c>
      <c r="M16" s="262">
        <f t="shared" si="3"/>
        <v>5.2000000000000005E-2</v>
      </c>
      <c r="N16" s="262">
        <f t="shared" si="4"/>
        <v>5.2000000000000005E-2</v>
      </c>
    </row>
    <row r="17" spans="1:14" x14ac:dyDescent="0.2">
      <c r="A17" s="258">
        <f>$A$16+1</f>
        <v>12</v>
      </c>
      <c r="B17" s="252" t="s">
        <v>176</v>
      </c>
      <c r="C17" s="216" t="s">
        <v>432</v>
      </c>
      <c r="D17" s="259">
        <v>4.0000000000000001E-3</v>
      </c>
      <c r="E17" s="259">
        <v>4.0000000000000001E-3</v>
      </c>
      <c r="F17" s="259">
        <v>4.0000000000000001E-3</v>
      </c>
      <c r="G17" s="259">
        <v>4.0000000000000001E-3</v>
      </c>
      <c r="H17" s="259">
        <v>4.0000000000000001E-3</v>
      </c>
      <c r="I17" s="260">
        <v>2</v>
      </c>
      <c r="J17" s="261">
        <f t="shared" si="0"/>
        <v>8.0000000000000002E-3</v>
      </c>
      <c r="K17" s="262">
        <f t="shared" si="1"/>
        <v>8.0000000000000002E-3</v>
      </c>
      <c r="L17" s="262">
        <f t="shared" si="2"/>
        <v>8.0000000000000002E-3</v>
      </c>
      <c r="M17" s="262">
        <f t="shared" si="3"/>
        <v>8.0000000000000002E-3</v>
      </c>
      <c r="N17" s="262">
        <f t="shared" si="4"/>
        <v>8.0000000000000002E-3</v>
      </c>
    </row>
    <row r="18" spans="1:14" x14ac:dyDescent="0.2">
      <c r="A18" s="258">
        <f>$A$17+1</f>
        <v>13</v>
      </c>
      <c r="B18" s="252" t="s">
        <v>179</v>
      </c>
      <c r="C18" s="216" t="s">
        <v>433</v>
      </c>
      <c r="D18" s="259">
        <v>4.0000000000000001E-3</v>
      </c>
      <c r="E18" s="259">
        <v>4.0000000000000001E-3</v>
      </c>
      <c r="F18" s="259">
        <v>4.0000000000000001E-3</v>
      </c>
      <c r="G18" s="259">
        <v>4.0000000000000001E-3</v>
      </c>
      <c r="H18" s="259">
        <v>4.0000000000000001E-3</v>
      </c>
      <c r="I18" s="260">
        <v>6</v>
      </c>
      <c r="J18" s="261">
        <f t="shared" si="0"/>
        <v>2.4E-2</v>
      </c>
      <c r="K18" s="262">
        <f t="shared" si="1"/>
        <v>2.4E-2</v>
      </c>
      <c r="L18" s="262">
        <f t="shared" si="2"/>
        <v>2.4E-2</v>
      </c>
      <c r="M18" s="262">
        <f t="shared" si="3"/>
        <v>2.4E-2</v>
      </c>
      <c r="N18" s="262">
        <f t="shared" si="4"/>
        <v>2.4E-2</v>
      </c>
    </row>
    <row r="19" spans="1:14" x14ac:dyDescent="0.2">
      <c r="A19" s="258">
        <f>$A$18+1</f>
        <v>14</v>
      </c>
      <c r="B19" s="252" t="s">
        <v>181</v>
      </c>
      <c r="C19" s="216" t="s">
        <v>434</v>
      </c>
      <c r="D19" s="259">
        <v>4.0000000000000001E-3</v>
      </c>
      <c r="E19" s="259">
        <v>4.0000000000000001E-3</v>
      </c>
      <c r="F19" s="259">
        <v>4.0000000000000001E-3</v>
      </c>
      <c r="G19" s="259">
        <v>4.0000000000000001E-3</v>
      </c>
      <c r="H19" s="259">
        <v>4.0000000000000001E-3</v>
      </c>
      <c r="I19" s="260">
        <v>2</v>
      </c>
      <c r="J19" s="261">
        <f t="shared" si="0"/>
        <v>8.0000000000000002E-3</v>
      </c>
      <c r="K19" s="262">
        <f t="shared" si="1"/>
        <v>8.0000000000000002E-3</v>
      </c>
      <c r="L19" s="262">
        <f t="shared" si="2"/>
        <v>8.0000000000000002E-3</v>
      </c>
      <c r="M19" s="262">
        <f t="shared" si="3"/>
        <v>8.0000000000000002E-3</v>
      </c>
      <c r="N19" s="262">
        <f t="shared" si="4"/>
        <v>8.0000000000000002E-3</v>
      </c>
    </row>
    <row r="20" spans="1:14" x14ac:dyDescent="0.2">
      <c r="A20" s="258">
        <f>$A$19+1</f>
        <v>15</v>
      </c>
      <c r="B20" s="252" t="s">
        <v>183</v>
      </c>
      <c r="C20" s="216" t="s">
        <v>435</v>
      </c>
      <c r="D20" s="259">
        <v>4.0000000000000001E-3</v>
      </c>
      <c r="E20" s="259">
        <v>4.0000000000000001E-3</v>
      </c>
      <c r="F20" s="259">
        <v>4.0000000000000001E-3</v>
      </c>
      <c r="G20" s="259">
        <v>4.0000000000000001E-3</v>
      </c>
      <c r="H20" s="259">
        <v>4.0000000000000001E-3</v>
      </c>
      <c r="I20" s="260">
        <v>3</v>
      </c>
      <c r="J20" s="261">
        <f t="shared" si="0"/>
        <v>1.2E-2</v>
      </c>
      <c r="K20" s="262">
        <f t="shared" si="1"/>
        <v>1.2E-2</v>
      </c>
      <c r="L20" s="262">
        <f t="shared" si="2"/>
        <v>1.2E-2</v>
      </c>
      <c r="M20" s="262">
        <f t="shared" si="3"/>
        <v>1.2E-2</v>
      </c>
      <c r="N20" s="262">
        <f t="shared" si="4"/>
        <v>1.2E-2</v>
      </c>
    </row>
    <row r="21" spans="1:14" x14ac:dyDescent="0.2">
      <c r="A21" s="258">
        <f>$A$20+1</f>
        <v>16</v>
      </c>
      <c r="B21" s="252" t="s">
        <v>185</v>
      </c>
      <c r="C21" s="216" t="s">
        <v>436</v>
      </c>
      <c r="D21" s="259">
        <v>4.0000000000000001E-3</v>
      </c>
      <c r="E21" s="259">
        <v>4.0000000000000001E-3</v>
      </c>
      <c r="F21" s="259">
        <v>4.0000000000000001E-3</v>
      </c>
      <c r="G21" s="259">
        <v>4.0000000000000001E-3</v>
      </c>
      <c r="H21" s="259">
        <v>4.0000000000000001E-3</v>
      </c>
      <c r="I21" s="260">
        <v>3</v>
      </c>
      <c r="J21" s="261">
        <f t="shared" si="0"/>
        <v>1.2E-2</v>
      </c>
      <c r="K21" s="262">
        <f t="shared" si="1"/>
        <v>1.2E-2</v>
      </c>
      <c r="L21" s="262">
        <f t="shared" si="2"/>
        <v>1.2E-2</v>
      </c>
      <c r="M21" s="262">
        <f t="shared" si="3"/>
        <v>1.2E-2</v>
      </c>
      <c r="N21" s="262">
        <f t="shared" si="4"/>
        <v>1.2E-2</v>
      </c>
    </row>
    <row r="22" spans="1:14" x14ac:dyDescent="0.2">
      <c r="A22" s="258">
        <f>$A$21+1</f>
        <v>17</v>
      </c>
      <c r="B22" s="252" t="s">
        <v>188</v>
      </c>
      <c r="C22" s="216" t="s">
        <v>437</v>
      </c>
      <c r="D22" s="259">
        <v>4.0000000000000001E-3</v>
      </c>
      <c r="E22" s="259">
        <v>4.0000000000000001E-3</v>
      </c>
      <c r="F22" s="259">
        <v>4.0000000000000001E-3</v>
      </c>
      <c r="G22" s="259">
        <v>4.0000000000000001E-3</v>
      </c>
      <c r="H22" s="259">
        <v>4.0000000000000001E-3</v>
      </c>
      <c r="I22" s="260">
        <v>30</v>
      </c>
      <c r="J22" s="261">
        <f t="shared" ref="J22:J31" si="5">I22*D22</f>
        <v>0.12</v>
      </c>
      <c r="K22" s="262">
        <f t="shared" si="1"/>
        <v>0.12</v>
      </c>
      <c r="L22" s="262">
        <f t="shared" si="2"/>
        <v>0.12</v>
      </c>
      <c r="M22" s="262">
        <f t="shared" si="3"/>
        <v>0.12</v>
      </c>
      <c r="N22" s="262">
        <f t="shared" si="4"/>
        <v>0.12</v>
      </c>
    </row>
    <row r="23" spans="1:14" x14ac:dyDescent="0.2">
      <c r="A23" s="258">
        <f>$A$22+1</f>
        <v>18</v>
      </c>
      <c r="B23" s="252" t="s">
        <v>190</v>
      </c>
      <c r="C23" s="216" t="s">
        <v>438</v>
      </c>
      <c r="D23" s="259">
        <v>4.0000000000000001E-3</v>
      </c>
      <c r="E23" s="259">
        <v>4.0000000000000001E-3</v>
      </c>
      <c r="F23" s="259">
        <v>4.0000000000000001E-3</v>
      </c>
      <c r="G23" s="259">
        <v>4.0000000000000001E-3</v>
      </c>
      <c r="H23" s="259">
        <v>4.0000000000000001E-3</v>
      </c>
      <c r="I23" s="260">
        <v>1</v>
      </c>
      <c r="J23" s="261">
        <f t="shared" si="5"/>
        <v>4.0000000000000001E-3</v>
      </c>
      <c r="K23" s="262">
        <f t="shared" si="1"/>
        <v>4.0000000000000001E-3</v>
      </c>
      <c r="L23" s="262">
        <f t="shared" si="2"/>
        <v>4.0000000000000001E-3</v>
      </c>
      <c r="M23" s="262">
        <f t="shared" si="3"/>
        <v>4.0000000000000001E-3</v>
      </c>
      <c r="N23" s="262">
        <f t="shared" si="4"/>
        <v>4.0000000000000001E-3</v>
      </c>
    </row>
    <row r="24" spans="1:14" x14ac:dyDescent="0.2">
      <c r="A24" s="258">
        <f>$A$23+1</f>
        <v>19</v>
      </c>
      <c r="B24" s="252" t="s">
        <v>192</v>
      </c>
      <c r="C24" s="216" t="s">
        <v>439</v>
      </c>
      <c r="D24" s="259">
        <v>4.0000000000000001E-3</v>
      </c>
      <c r="E24" s="259">
        <v>4.0000000000000001E-3</v>
      </c>
      <c r="F24" s="259">
        <v>4.0000000000000001E-3</v>
      </c>
      <c r="G24" s="259">
        <v>4.0000000000000001E-3</v>
      </c>
      <c r="H24" s="259">
        <v>4.0000000000000001E-3</v>
      </c>
      <c r="I24" s="260">
        <v>22</v>
      </c>
      <c r="J24" s="261">
        <f t="shared" si="5"/>
        <v>8.7999999999999995E-2</v>
      </c>
      <c r="K24" s="262">
        <f t="shared" si="1"/>
        <v>8.7999999999999995E-2</v>
      </c>
      <c r="L24" s="262">
        <f t="shared" si="2"/>
        <v>8.7999999999999995E-2</v>
      </c>
      <c r="M24" s="262">
        <f t="shared" si="3"/>
        <v>8.7999999999999995E-2</v>
      </c>
      <c r="N24" s="262">
        <f t="shared" si="4"/>
        <v>8.7999999999999995E-2</v>
      </c>
    </row>
    <row r="25" spans="1:14" x14ac:dyDescent="0.2">
      <c r="A25" s="258">
        <f>$A$24+1</f>
        <v>20</v>
      </c>
      <c r="B25" s="252" t="s">
        <v>194</v>
      </c>
      <c r="C25" s="216" t="s">
        <v>440</v>
      </c>
      <c r="D25" s="259">
        <v>4.0000000000000001E-3</v>
      </c>
      <c r="E25" s="259">
        <v>4.0000000000000001E-3</v>
      </c>
      <c r="F25" s="259">
        <v>4.0000000000000001E-3</v>
      </c>
      <c r="G25" s="259">
        <v>4.0000000000000001E-3</v>
      </c>
      <c r="H25" s="259">
        <v>4.0000000000000001E-3</v>
      </c>
      <c r="I25" s="260">
        <v>1</v>
      </c>
      <c r="J25" s="261">
        <f t="shared" si="5"/>
        <v>4.0000000000000001E-3</v>
      </c>
      <c r="K25" s="262">
        <f t="shared" si="1"/>
        <v>4.0000000000000001E-3</v>
      </c>
      <c r="L25" s="262">
        <f t="shared" si="2"/>
        <v>4.0000000000000001E-3</v>
      </c>
      <c r="M25" s="262">
        <f t="shared" si="3"/>
        <v>4.0000000000000001E-3</v>
      </c>
      <c r="N25" s="262">
        <f t="shared" si="4"/>
        <v>4.0000000000000001E-3</v>
      </c>
    </row>
    <row r="26" spans="1:14" x14ac:dyDescent="0.2">
      <c r="A26" s="258">
        <f>$A$25+1</f>
        <v>21</v>
      </c>
      <c r="B26" s="252" t="s">
        <v>196</v>
      </c>
      <c r="C26" s="216" t="s">
        <v>441</v>
      </c>
      <c r="D26" s="259">
        <v>4.0000000000000001E-3</v>
      </c>
      <c r="E26" s="259">
        <v>4.0000000000000001E-3</v>
      </c>
      <c r="F26" s="259">
        <v>4.0000000000000001E-3</v>
      </c>
      <c r="G26" s="259">
        <v>4.0000000000000001E-3</v>
      </c>
      <c r="H26" s="259">
        <v>4.0000000000000001E-3</v>
      </c>
      <c r="I26" s="260">
        <v>1</v>
      </c>
      <c r="J26" s="261">
        <f t="shared" si="5"/>
        <v>4.0000000000000001E-3</v>
      </c>
      <c r="K26" s="262">
        <f t="shared" ref="K26:K31" si="6">E26*I26</f>
        <v>4.0000000000000001E-3</v>
      </c>
      <c r="L26" s="262">
        <f t="shared" ref="L26:L31" si="7">F26*I26</f>
        <v>4.0000000000000001E-3</v>
      </c>
      <c r="M26" s="262">
        <f t="shared" ref="M26:M31" si="8">G26*I26</f>
        <v>4.0000000000000001E-3</v>
      </c>
      <c r="N26" s="262">
        <f t="shared" ref="N26:N31" si="9">H26*I26</f>
        <v>4.0000000000000001E-3</v>
      </c>
    </row>
    <row r="27" spans="1:14" x14ac:dyDescent="0.2">
      <c r="A27" s="258">
        <f>$A$26+1</f>
        <v>22</v>
      </c>
      <c r="B27" s="252" t="s">
        <v>198</v>
      </c>
      <c r="C27" s="216" t="s">
        <v>442</v>
      </c>
      <c r="D27" s="259">
        <v>4.0000000000000001E-3</v>
      </c>
      <c r="E27" s="259">
        <v>4.0000000000000001E-3</v>
      </c>
      <c r="F27" s="259">
        <v>4.0000000000000001E-3</v>
      </c>
      <c r="G27" s="259">
        <v>4.0000000000000001E-3</v>
      </c>
      <c r="H27" s="259">
        <v>4.0000000000000001E-3</v>
      </c>
      <c r="I27" s="260">
        <v>3</v>
      </c>
      <c r="J27" s="261">
        <f t="shared" si="5"/>
        <v>1.2E-2</v>
      </c>
      <c r="K27" s="262">
        <f t="shared" si="6"/>
        <v>1.2E-2</v>
      </c>
      <c r="L27" s="262">
        <f t="shared" si="7"/>
        <v>1.2E-2</v>
      </c>
      <c r="M27" s="262">
        <f t="shared" si="8"/>
        <v>1.2E-2</v>
      </c>
      <c r="N27" s="262">
        <f t="shared" si="9"/>
        <v>1.2E-2</v>
      </c>
    </row>
    <row r="28" spans="1:14" x14ac:dyDescent="0.2">
      <c r="A28" s="258">
        <f>$A$27+1</f>
        <v>23</v>
      </c>
      <c r="B28" s="252" t="s">
        <v>200</v>
      </c>
      <c r="C28" s="216" t="s">
        <v>443</v>
      </c>
      <c r="D28" s="259">
        <v>4.0000000000000001E-3</v>
      </c>
      <c r="E28" s="259">
        <v>4.0000000000000001E-3</v>
      </c>
      <c r="F28" s="259">
        <v>4.0000000000000001E-3</v>
      </c>
      <c r="G28" s="259">
        <v>4.0000000000000001E-3</v>
      </c>
      <c r="H28" s="259">
        <v>4.0000000000000001E-3</v>
      </c>
      <c r="I28" s="260">
        <v>1</v>
      </c>
      <c r="J28" s="261">
        <f t="shared" si="5"/>
        <v>4.0000000000000001E-3</v>
      </c>
      <c r="K28" s="262">
        <f t="shared" si="6"/>
        <v>4.0000000000000001E-3</v>
      </c>
      <c r="L28" s="262">
        <f t="shared" si="7"/>
        <v>4.0000000000000001E-3</v>
      </c>
      <c r="M28" s="262">
        <f t="shared" si="8"/>
        <v>4.0000000000000001E-3</v>
      </c>
      <c r="N28" s="262">
        <f t="shared" si="9"/>
        <v>4.0000000000000001E-3</v>
      </c>
    </row>
    <row r="29" spans="1:14" x14ac:dyDescent="0.2">
      <c r="A29" s="258">
        <f>$A$28+1</f>
        <v>24</v>
      </c>
      <c r="B29" s="252" t="s">
        <v>202</v>
      </c>
      <c r="C29" s="216" t="s">
        <v>444</v>
      </c>
      <c r="D29" s="259">
        <v>0.26</v>
      </c>
      <c r="E29" s="259">
        <v>0.26</v>
      </c>
      <c r="F29" s="259">
        <v>0.26</v>
      </c>
      <c r="G29" s="259">
        <v>0.26</v>
      </c>
      <c r="H29" s="259">
        <v>0.26</v>
      </c>
      <c r="I29" s="260">
        <v>1</v>
      </c>
      <c r="J29" s="261">
        <f t="shared" si="5"/>
        <v>0.26</v>
      </c>
      <c r="K29" s="262">
        <f t="shared" si="6"/>
        <v>0.26</v>
      </c>
      <c r="L29" s="262">
        <f t="shared" si="7"/>
        <v>0.26</v>
      </c>
      <c r="M29" s="262">
        <f t="shared" si="8"/>
        <v>0.26</v>
      </c>
      <c r="N29" s="262">
        <f t="shared" si="9"/>
        <v>0.26</v>
      </c>
    </row>
    <row r="30" spans="1:14" x14ac:dyDescent="0.2">
      <c r="A30" s="258">
        <f>$A$29+1</f>
        <v>25</v>
      </c>
      <c r="B30" s="252" t="s">
        <v>205</v>
      </c>
      <c r="C30" s="216" t="s">
        <v>445</v>
      </c>
      <c r="D30" s="259">
        <v>0.184</v>
      </c>
      <c r="E30" s="259">
        <v>0.184</v>
      </c>
      <c r="F30" s="259">
        <v>0.184</v>
      </c>
      <c r="G30" s="259">
        <v>0.184</v>
      </c>
      <c r="H30" s="259">
        <v>0.184</v>
      </c>
      <c r="I30" s="260">
        <v>1</v>
      </c>
      <c r="J30" s="261">
        <f t="shared" si="5"/>
        <v>0.184</v>
      </c>
      <c r="K30" s="262">
        <f t="shared" si="6"/>
        <v>0.184</v>
      </c>
      <c r="L30" s="262">
        <f t="shared" si="7"/>
        <v>0.184</v>
      </c>
      <c r="M30" s="262">
        <f t="shared" si="8"/>
        <v>0.184</v>
      </c>
      <c r="N30" s="262">
        <f t="shared" si="9"/>
        <v>0.184</v>
      </c>
    </row>
    <row r="31" spans="1:14" x14ac:dyDescent="0.2">
      <c r="A31" s="258">
        <f>$A$29+1</f>
        <v>25</v>
      </c>
      <c r="B31" s="252" t="s">
        <v>208</v>
      </c>
      <c r="C31" s="216" t="s">
        <v>446</v>
      </c>
      <c r="D31" s="259">
        <v>0.22</v>
      </c>
      <c r="E31" s="259">
        <v>0.22</v>
      </c>
      <c r="F31" s="259">
        <v>0.22</v>
      </c>
      <c r="G31" s="259">
        <v>0.22</v>
      </c>
      <c r="H31" s="259">
        <v>0.22</v>
      </c>
      <c r="I31" s="260">
        <v>1</v>
      </c>
      <c r="J31" s="261">
        <f t="shared" si="5"/>
        <v>0.22</v>
      </c>
      <c r="K31" s="262">
        <f t="shared" si="6"/>
        <v>0.22</v>
      </c>
      <c r="L31" s="262">
        <f t="shared" si="7"/>
        <v>0.22</v>
      </c>
      <c r="M31" s="262">
        <f t="shared" si="8"/>
        <v>0.22</v>
      </c>
      <c r="N31" s="262">
        <f t="shared" si="9"/>
        <v>0.22</v>
      </c>
    </row>
    <row r="32" spans="1:14" x14ac:dyDescent="0.2">
      <c r="A32" s="258">
        <f>$A$30+1</f>
        <v>26</v>
      </c>
      <c r="B32" s="252" t="s">
        <v>242</v>
      </c>
      <c r="C32" s="216" t="s">
        <v>447</v>
      </c>
      <c r="D32" s="259">
        <v>0.17299999999999999</v>
      </c>
      <c r="E32" s="259">
        <v>0.17299999999999999</v>
      </c>
      <c r="F32" s="259">
        <v>0.17299999999999999</v>
      </c>
      <c r="G32" s="259">
        <v>0.17299999999999999</v>
      </c>
      <c r="H32" s="259">
        <v>0.17299999999999999</v>
      </c>
      <c r="I32" s="260">
        <v>1</v>
      </c>
      <c r="J32" s="261">
        <f>I32*D32</f>
        <v>0.17299999999999999</v>
      </c>
      <c r="K32" s="262">
        <f t="shared" ref="K32:K40" si="10">E32*I32</f>
        <v>0.17299999999999999</v>
      </c>
      <c r="L32" s="262">
        <f t="shared" ref="L32:L40" si="11">F32*I32</f>
        <v>0.17299999999999999</v>
      </c>
      <c r="M32" s="262">
        <f t="shared" ref="M32:M40" si="12">G32*I32</f>
        <v>0.17299999999999999</v>
      </c>
      <c r="N32" s="262">
        <f t="shared" ref="N32:N40" si="13">H32*I32</f>
        <v>0.17299999999999999</v>
      </c>
    </row>
    <row r="33" spans="1:17" x14ac:dyDescent="0.2">
      <c r="A33" s="258">
        <f>+A32+1</f>
        <v>27</v>
      </c>
      <c r="B33" s="252" t="s">
        <v>223</v>
      </c>
      <c r="C33" s="216" t="s">
        <v>448</v>
      </c>
      <c r="D33" s="259">
        <v>0.158</v>
      </c>
      <c r="E33" s="259">
        <v>0.158</v>
      </c>
      <c r="F33" s="259">
        <v>0.158</v>
      </c>
      <c r="G33" s="259">
        <v>0.158</v>
      </c>
      <c r="H33" s="259">
        <v>0.158</v>
      </c>
      <c r="I33" s="260">
        <v>1</v>
      </c>
      <c r="J33" s="261">
        <f>I33*D33</f>
        <v>0.158</v>
      </c>
      <c r="K33" s="262">
        <f t="shared" si="10"/>
        <v>0.158</v>
      </c>
      <c r="L33" s="262">
        <f t="shared" si="11"/>
        <v>0.158</v>
      </c>
      <c r="M33" s="262">
        <f t="shared" si="12"/>
        <v>0.158</v>
      </c>
      <c r="N33" s="262">
        <f t="shared" si="13"/>
        <v>0.158</v>
      </c>
    </row>
    <row r="34" spans="1:17" x14ac:dyDescent="0.2">
      <c r="A34" s="258">
        <f t="shared" ref="A34:A45" si="14">+A33+1</f>
        <v>28</v>
      </c>
      <c r="B34" s="252" t="s">
        <v>247</v>
      </c>
      <c r="C34" s="216" t="s">
        <v>248</v>
      </c>
      <c r="D34" s="259">
        <v>1.97</v>
      </c>
      <c r="E34" s="259">
        <v>1.97</v>
      </c>
      <c r="F34" s="259">
        <v>1.97</v>
      </c>
      <c r="G34" s="259">
        <v>1.97</v>
      </c>
      <c r="H34" s="259">
        <v>1.97</v>
      </c>
      <c r="I34" s="260">
        <v>1</v>
      </c>
      <c r="J34" s="261">
        <f>I34*D34</f>
        <v>1.97</v>
      </c>
      <c r="K34" s="262">
        <f t="shared" si="10"/>
        <v>1.97</v>
      </c>
      <c r="L34" s="262">
        <f t="shared" si="11"/>
        <v>1.97</v>
      </c>
      <c r="M34" s="262">
        <f t="shared" si="12"/>
        <v>1.97</v>
      </c>
      <c r="N34" s="262">
        <f t="shared" si="13"/>
        <v>1.97</v>
      </c>
    </row>
    <row r="35" spans="1:17" x14ac:dyDescent="0.2">
      <c r="A35" s="258">
        <f t="shared" si="14"/>
        <v>29</v>
      </c>
      <c r="B35" s="252" t="s">
        <v>232</v>
      </c>
      <c r="C35" s="216" t="s">
        <v>449</v>
      </c>
      <c r="D35" s="259">
        <v>2.1999999999999999E-2</v>
      </c>
      <c r="E35" s="259">
        <v>2.1999999999999999E-2</v>
      </c>
      <c r="F35" s="259">
        <v>2.1999999999999999E-2</v>
      </c>
      <c r="G35" s="259">
        <v>2.1999999999999999E-2</v>
      </c>
      <c r="H35" s="259">
        <v>2.1999999999999999E-2</v>
      </c>
      <c r="I35" s="260">
        <v>1</v>
      </c>
      <c r="J35" s="261">
        <f>I35*D35</f>
        <v>2.1999999999999999E-2</v>
      </c>
      <c r="K35" s="262">
        <f t="shared" si="10"/>
        <v>2.1999999999999999E-2</v>
      </c>
      <c r="L35" s="262">
        <f t="shared" si="11"/>
        <v>2.1999999999999999E-2</v>
      </c>
      <c r="M35" s="262">
        <f t="shared" si="12"/>
        <v>2.1999999999999999E-2</v>
      </c>
      <c r="N35" s="262">
        <f t="shared" si="13"/>
        <v>2.1999999999999999E-2</v>
      </c>
    </row>
    <row r="36" spans="1:17" x14ac:dyDescent="0.2">
      <c r="A36" s="258">
        <f t="shared" si="14"/>
        <v>30</v>
      </c>
      <c r="B36" s="252" t="s">
        <v>235</v>
      </c>
      <c r="C36" s="216" t="s">
        <v>450</v>
      </c>
      <c r="D36" s="259">
        <v>0.16500000000000001</v>
      </c>
      <c r="E36" s="259">
        <v>0.16500000000000001</v>
      </c>
      <c r="F36" s="259">
        <v>0.16500000000000001</v>
      </c>
      <c r="G36" s="259">
        <v>0.16500000000000001</v>
      </c>
      <c r="H36" s="259">
        <v>0.16500000000000001</v>
      </c>
      <c r="I36" s="260">
        <v>1</v>
      </c>
      <c r="J36" s="261">
        <f>I36*D36</f>
        <v>0.16500000000000001</v>
      </c>
      <c r="K36" s="262">
        <f t="shared" si="10"/>
        <v>0.16500000000000001</v>
      </c>
      <c r="L36" s="262">
        <f t="shared" si="11"/>
        <v>0.16500000000000001</v>
      </c>
      <c r="M36" s="262">
        <f t="shared" si="12"/>
        <v>0.16500000000000001</v>
      </c>
      <c r="N36" s="262">
        <f t="shared" si="13"/>
        <v>0.16500000000000001</v>
      </c>
    </row>
    <row r="37" spans="1:17" x14ac:dyDescent="0.2">
      <c r="A37" s="258">
        <f t="shared" si="14"/>
        <v>31</v>
      </c>
      <c r="B37" s="252" t="s">
        <v>237</v>
      </c>
      <c r="C37" s="216" t="s">
        <v>451</v>
      </c>
      <c r="D37" s="259">
        <v>0.02</v>
      </c>
      <c r="E37" s="259">
        <v>0.02</v>
      </c>
      <c r="F37" s="259">
        <v>0.02</v>
      </c>
      <c r="G37" s="259">
        <v>0.02</v>
      </c>
      <c r="H37" s="259">
        <v>0.02</v>
      </c>
      <c r="I37" s="260">
        <v>2</v>
      </c>
      <c r="J37" s="261">
        <f t="shared" ref="J37:J46" si="15">I37*D37</f>
        <v>0.04</v>
      </c>
      <c r="K37" s="262">
        <f t="shared" si="10"/>
        <v>0.04</v>
      </c>
      <c r="L37" s="262">
        <f t="shared" si="11"/>
        <v>0.04</v>
      </c>
      <c r="M37" s="262">
        <f t="shared" si="12"/>
        <v>0.04</v>
      </c>
      <c r="N37" s="262">
        <f t="shared" si="13"/>
        <v>0.04</v>
      </c>
    </row>
    <row r="38" spans="1:17" x14ac:dyDescent="0.2">
      <c r="A38" s="258">
        <f t="shared" si="14"/>
        <v>32</v>
      </c>
      <c r="B38" s="252" t="s">
        <v>239</v>
      </c>
      <c r="C38" s="216" t="s">
        <v>452</v>
      </c>
      <c r="D38" s="259">
        <v>0.85</v>
      </c>
      <c r="E38" s="259">
        <v>0.85</v>
      </c>
      <c r="F38" s="259">
        <v>0.85</v>
      </c>
      <c r="G38" s="259">
        <v>0.85</v>
      </c>
      <c r="H38" s="259">
        <v>0.85</v>
      </c>
      <c r="I38" s="260">
        <v>1</v>
      </c>
      <c r="J38" s="261">
        <f t="shared" si="15"/>
        <v>0.85</v>
      </c>
      <c r="K38" s="262">
        <f t="shared" si="10"/>
        <v>0.85</v>
      </c>
      <c r="L38" s="262">
        <f t="shared" si="11"/>
        <v>0.85</v>
      </c>
      <c r="M38" s="262">
        <f t="shared" si="12"/>
        <v>0.85</v>
      </c>
      <c r="N38" s="262">
        <f t="shared" si="13"/>
        <v>0.85</v>
      </c>
    </row>
    <row r="39" spans="1:17" x14ac:dyDescent="0.2">
      <c r="A39" s="258">
        <f t="shared" si="14"/>
        <v>33</v>
      </c>
      <c r="B39" s="252" t="s">
        <v>250</v>
      </c>
      <c r="C39" s="216" t="s">
        <v>453</v>
      </c>
      <c r="D39" s="259">
        <v>7.2999999999999995E-2</v>
      </c>
      <c r="E39" s="259">
        <v>7.2999999999999995E-2</v>
      </c>
      <c r="F39" s="259">
        <v>7.2999999999999995E-2</v>
      </c>
      <c r="G39" s="259">
        <v>7.2999999999999995E-2</v>
      </c>
      <c r="H39" s="259">
        <v>7.2999999999999995E-2</v>
      </c>
      <c r="I39" s="260">
        <v>1</v>
      </c>
      <c r="J39" s="261">
        <f t="shared" si="15"/>
        <v>7.2999999999999995E-2</v>
      </c>
      <c r="K39" s="262">
        <f t="shared" si="10"/>
        <v>7.2999999999999995E-2</v>
      </c>
      <c r="L39" s="262">
        <f t="shared" si="11"/>
        <v>7.2999999999999995E-2</v>
      </c>
      <c r="M39" s="262">
        <f t="shared" si="12"/>
        <v>7.2999999999999995E-2</v>
      </c>
      <c r="N39" s="262">
        <f t="shared" si="13"/>
        <v>7.2999999999999995E-2</v>
      </c>
    </row>
    <row r="40" spans="1:17" x14ac:dyDescent="0.2">
      <c r="A40" s="258">
        <f t="shared" si="14"/>
        <v>34</v>
      </c>
      <c r="B40" s="252" t="s">
        <v>253</v>
      </c>
      <c r="C40" s="216" t="s">
        <v>454</v>
      </c>
      <c r="D40" s="259">
        <v>7.2999999999999995E-2</v>
      </c>
      <c r="E40" s="259">
        <v>7.2999999999999995E-2</v>
      </c>
      <c r="F40" s="259">
        <v>7.2999999999999995E-2</v>
      </c>
      <c r="G40" s="259">
        <v>7.2999999999999995E-2</v>
      </c>
      <c r="H40" s="259">
        <v>7.2999999999999995E-2</v>
      </c>
      <c r="I40" s="260">
        <v>2</v>
      </c>
      <c r="J40" s="261">
        <f t="shared" si="15"/>
        <v>0.14599999999999999</v>
      </c>
      <c r="K40" s="262">
        <f t="shared" si="10"/>
        <v>0.14599999999999999</v>
      </c>
      <c r="L40" s="262">
        <f t="shared" si="11"/>
        <v>0.14599999999999999</v>
      </c>
      <c r="M40" s="262">
        <f t="shared" si="12"/>
        <v>0.14599999999999999</v>
      </c>
      <c r="N40" s="262">
        <f t="shared" si="13"/>
        <v>0.14599999999999999</v>
      </c>
    </row>
    <row r="41" spans="1:17" x14ac:dyDescent="0.2">
      <c r="A41" s="258">
        <f t="shared" si="14"/>
        <v>35</v>
      </c>
      <c r="B41" s="252" t="s">
        <v>256</v>
      </c>
      <c r="C41" s="216" t="s">
        <v>455</v>
      </c>
      <c r="D41" s="259">
        <v>7.2999999999999995E-2</v>
      </c>
      <c r="E41" s="259">
        <v>7.2999999999999995E-2</v>
      </c>
      <c r="F41" s="259">
        <v>7.2999999999999995E-2</v>
      </c>
      <c r="G41" s="259">
        <v>7.2999999999999995E-2</v>
      </c>
      <c r="H41" s="259">
        <v>7.2999999999999995E-2</v>
      </c>
      <c r="I41" s="260">
        <v>2</v>
      </c>
      <c r="J41" s="261">
        <f t="shared" si="15"/>
        <v>0.14599999999999999</v>
      </c>
      <c r="K41" s="262">
        <f t="shared" ref="K41:K46" si="16">E41*I41</f>
        <v>0.14599999999999999</v>
      </c>
      <c r="L41" s="262">
        <f t="shared" ref="L41:L46" si="17">F41*I41</f>
        <v>0.14599999999999999</v>
      </c>
      <c r="M41" s="262">
        <f t="shared" ref="M41:M46" si="18">G41*I41</f>
        <v>0.14599999999999999</v>
      </c>
      <c r="N41" s="262">
        <f t="shared" ref="N41:N46" si="19">H41*I41</f>
        <v>0.14599999999999999</v>
      </c>
    </row>
    <row r="42" spans="1:17" x14ac:dyDescent="0.2">
      <c r="A42" s="258">
        <f t="shared" si="14"/>
        <v>36</v>
      </c>
      <c r="B42" s="252" t="s">
        <v>258</v>
      </c>
      <c r="C42" s="216" t="s">
        <v>456</v>
      </c>
      <c r="D42" s="259">
        <v>7.2999999999999995E-2</v>
      </c>
      <c r="E42" s="259">
        <v>7.2999999999999995E-2</v>
      </c>
      <c r="F42" s="259">
        <v>7.2999999999999995E-2</v>
      </c>
      <c r="G42" s="259">
        <v>7.2999999999999995E-2</v>
      </c>
      <c r="H42" s="259">
        <v>7.2999999999999995E-2</v>
      </c>
      <c r="I42" s="260">
        <v>6</v>
      </c>
      <c r="J42" s="261">
        <f t="shared" si="15"/>
        <v>0.43799999999999994</v>
      </c>
      <c r="K42" s="262">
        <f t="shared" si="16"/>
        <v>0.43799999999999994</v>
      </c>
      <c r="L42" s="262">
        <f t="shared" si="17"/>
        <v>0.43799999999999994</v>
      </c>
      <c r="M42" s="262">
        <f t="shared" si="18"/>
        <v>0.43799999999999994</v>
      </c>
      <c r="N42" s="262">
        <f t="shared" si="19"/>
        <v>0.43799999999999994</v>
      </c>
    </row>
    <row r="43" spans="1:17" x14ac:dyDescent="0.2">
      <c r="A43" s="258">
        <f t="shared" si="14"/>
        <v>37</v>
      </c>
      <c r="B43" s="252" t="s">
        <v>260</v>
      </c>
      <c r="C43" s="216" t="s">
        <v>457</v>
      </c>
      <c r="D43" s="259">
        <v>7.2999999999999995E-2</v>
      </c>
      <c r="E43" s="259">
        <v>7.2999999999999995E-2</v>
      </c>
      <c r="F43" s="259">
        <v>7.2999999999999995E-2</v>
      </c>
      <c r="G43" s="259">
        <v>7.2999999999999995E-2</v>
      </c>
      <c r="H43" s="259">
        <v>7.2999999999999995E-2</v>
      </c>
      <c r="I43" s="260">
        <v>2</v>
      </c>
      <c r="J43" s="261">
        <f t="shared" si="15"/>
        <v>0.14599999999999999</v>
      </c>
      <c r="K43" s="262">
        <f t="shared" si="16"/>
        <v>0.14599999999999999</v>
      </c>
      <c r="L43" s="262">
        <f t="shared" si="17"/>
        <v>0.14599999999999999</v>
      </c>
      <c r="M43" s="262">
        <f t="shared" si="18"/>
        <v>0.14599999999999999</v>
      </c>
      <c r="N43" s="262">
        <f t="shared" si="19"/>
        <v>0.14599999999999999</v>
      </c>
    </row>
    <row r="44" spans="1:17" x14ac:dyDescent="0.2">
      <c r="A44" s="258">
        <f t="shared" si="14"/>
        <v>38</v>
      </c>
      <c r="B44" s="252" t="s">
        <v>262</v>
      </c>
      <c r="C44" s="216" t="s">
        <v>458</v>
      </c>
      <c r="D44" s="259">
        <v>4.8000000000000001E-2</v>
      </c>
      <c r="E44" s="259">
        <v>4.8000000000000001E-2</v>
      </c>
      <c r="F44" s="259">
        <v>4.8000000000000001E-2</v>
      </c>
      <c r="G44" s="259">
        <v>4.8000000000000001E-2</v>
      </c>
      <c r="H44" s="259">
        <v>4.8000000000000001E-2</v>
      </c>
      <c r="I44" s="260">
        <v>6</v>
      </c>
      <c r="J44" s="261">
        <f t="shared" si="15"/>
        <v>0.28800000000000003</v>
      </c>
      <c r="K44" s="262">
        <f t="shared" si="16"/>
        <v>0.28800000000000003</v>
      </c>
      <c r="L44" s="262">
        <f t="shared" si="17"/>
        <v>0.28800000000000003</v>
      </c>
      <c r="M44" s="262">
        <f t="shared" si="18"/>
        <v>0.28800000000000003</v>
      </c>
      <c r="N44" s="262">
        <f t="shared" si="19"/>
        <v>0.28800000000000003</v>
      </c>
    </row>
    <row r="45" spans="1:17" x14ac:dyDescent="0.2">
      <c r="A45" s="258">
        <f t="shared" si="14"/>
        <v>39</v>
      </c>
      <c r="B45" s="252" t="s">
        <v>459</v>
      </c>
      <c r="C45" s="216" t="s">
        <v>460</v>
      </c>
      <c r="D45" s="259">
        <v>0.95</v>
      </c>
      <c r="E45" s="259">
        <v>0.95</v>
      </c>
      <c r="F45" s="259">
        <v>0.95</v>
      </c>
      <c r="G45" s="259">
        <v>0.95</v>
      </c>
      <c r="H45" s="259">
        <v>0.95</v>
      </c>
      <c r="I45" s="260">
        <v>1</v>
      </c>
      <c r="J45" s="261">
        <f t="shared" si="15"/>
        <v>0.95</v>
      </c>
      <c r="K45" s="262">
        <f t="shared" si="16"/>
        <v>0.95</v>
      </c>
      <c r="L45" s="262">
        <f t="shared" si="17"/>
        <v>0.95</v>
      </c>
      <c r="M45" s="262">
        <f t="shared" si="18"/>
        <v>0.95</v>
      </c>
      <c r="N45" s="262">
        <f t="shared" si="19"/>
        <v>0.95</v>
      </c>
    </row>
    <row r="46" spans="1:17" ht="13.5" thickBot="1" x14ac:dyDescent="0.25">
      <c r="A46" s="263">
        <f>$A$45+1</f>
        <v>40</v>
      </c>
      <c r="B46" s="457" t="s">
        <v>264</v>
      </c>
      <c r="C46" s="265" t="s">
        <v>461</v>
      </c>
      <c r="D46" s="441">
        <v>3.6680000000000001</v>
      </c>
      <c r="E46" s="441">
        <v>3.6680000000000001</v>
      </c>
      <c r="F46" s="441">
        <v>3.6680000000000001</v>
      </c>
      <c r="G46" s="441">
        <v>3.6680000000000001</v>
      </c>
      <c r="H46" s="441">
        <v>3.6680000000000001</v>
      </c>
      <c r="I46" s="267">
        <v>1</v>
      </c>
      <c r="J46" s="268">
        <f t="shared" si="15"/>
        <v>3.6680000000000001</v>
      </c>
      <c r="K46" s="269">
        <f t="shared" si="16"/>
        <v>3.6680000000000001</v>
      </c>
      <c r="L46" s="269">
        <f t="shared" si="17"/>
        <v>3.6680000000000001</v>
      </c>
      <c r="M46" s="269">
        <f t="shared" si="18"/>
        <v>3.6680000000000001</v>
      </c>
      <c r="N46" s="269">
        <f t="shared" si="19"/>
        <v>3.6680000000000001</v>
      </c>
    </row>
    <row r="47" spans="1:17" ht="13.5" thickTop="1" x14ac:dyDescent="0.2">
      <c r="A47" s="258"/>
      <c r="B47" s="248"/>
      <c r="C47" s="216"/>
      <c r="D47" s="259"/>
      <c r="E47" s="259"/>
      <c r="F47" s="259"/>
      <c r="G47" s="259"/>
      <c r="H47" s="259"/>
      <c r="I47" s="260">
        <f>SUM(I5:I46)</f>
        <v>156</v>
      </c>
      <c r="J47" s="261">
        <f>SUM(J4:J46)</f>
        <v>11.113</v>
      </c>
      <c r="K47" s="262">
        <f>SUM(K4:K46)</f>
        <v>11.113</v>
      </c>
      <c r="L47" s="460">
        <v>15.166</v>
      </c>
      <c r="M47" s="262">
        <f>SUM(M4:M46)</f>
        <v>11.113</v>
      </c>
      <c r="N47" s="262">
        <f>SUM(N4:N46)</f>
        <v>11.113</v>
      </c>
      <c r="O47" s="352"/>
      <c r="Q47" s="352"/>
    </row>
    <row r="48" spans="1:17" x14ac:dyDescent="0.2">
      <c r="A48" s="258"/>
      <c r="B48" s="248"/>
      <c r="C48" s="216"/>
      <c r="D48" s="259"/>
      <c r="E48" s="259"/>
      <c r="F48" s="259"/>
      <c r="G48" s="259"/>
      <c r="H48" s="259"/>
      <c r="I48" s="260"/>
      <c r="J48" s="261"/>
      <c r="K48" s="262"/>
      <c r="L48" s="262"/>
      <c r="M48" s="262"/>
      <c r="N48" s="262"/>
    </row>
    <row r="49" spans="1:16" x14ac:dyDescent="0.2">
      <c r="A49" s="270">
        <f>$A$46+1</f>
        <v>41</v>
      </c>
      <c r="B49" s="271" t="s">
        <v>244</v>
      </c>
      <c r="C49" s="272" t="s">
        <v>245</v>
      </c>
      <c r="D49" s="273">
        <v>1.1200000000000001</v>
      </c>
      <c r="E49" s="273">
        <v>1.1200000000000001</v>
      </c>
      <c r="F49" s="273">
        <v>1.1200000000000001</v>
      </c>
      <c r="G49" s="273">
        <v>1.1200000000000001</v>
      </c>
      <c r="H49" s="273">
        <v>1.1200000000000001</v>
      </c>
      <c r="I49" s="274">
        <v>2</v>
      </c>
      <c r="J49" s="275">
        <f t="shared" ref="J49:J54" si="20">I49*D49</f>
        <v>2.2400000000000002</v>
      </c>
      <c r="K49" s="276">
        <f t="shared" ref="K49:K54" si="21">E49*I49</f>
        <v>2.2400000000000002</v>
      </c>
      <c r="L49" s="276">
        <f t="shared" ref="L49:L54" si="22">F49*I49</f>
        <v>2.2400000000000002</v>
      </c>
      <c r="M49" s="276">
        <f t="shared" ref="M49:M54" si="23">G49*I49</f>
        <v>2.2400000000000002</v>
      </c>
      <c r="N49" s="276">
        <f t="shared" ref="N49:N54" si="24">H49*I49</f>
        <v>2.2400000000000002</v>
      </c>
    </row>
    <row r="50" spans="1:16" x14ac:dyDescent="0.2">
      <c r="A50" s="258">
        <f>$A$31+1</f>
        <v>26</v>
      </c>
      <c r="B50" s="248" t="s">
        <v>210</v>
      </c>
      <c r="C50" s="216" t="s">
        <v>462</v>
      </c>
      <c r="D50" s="440">
        <v>0.51</v>
      </c>
      <c r="E50" s="440">
        <v>0.51</v>
      </c>
      <c r="F50" s="440">
        <v>0.51</v>
      </c>
      <c r="G50" s="440">
        <v>0.51</v>
      </c>
      <c r="H50" s="440">
        <v>0.51</v>
      </c>
      <c r="I50" s="260">
        <v>1</v>
      </c>
      <c r="J50" s="261">
        <f t="shared" si="20"/>
        <v>0.51</v>
      </c>
      <c r="K50" s="262">
        <f t="shared" si="21"/>
        <v>0.51</v>
      </c>
      <c r="L50" s="262">
        <f t="shared" si="22"/>
        <v>0.51</v>
      </c>
      <c r="M50" s="262">
        <f t="shared" si="23"/>
        <v>0.51</v>
      </c>
      <c r="N50" s="262">
        <f t="shared" si="24"/>
        <v>0.51</v>
      </c>
    </row>
    <row r="51" spans="1:16" x14ac:dyDescent="0.2">
      <c r="A51" s="258">
        <f>$A$47+1</f>
        <v>1</v>
      </c>
      <c r="B51" s="248" t="s">
        <v>212</v>
      </c>
      <c r="C51" s="216" t="s">
        <v>463</v>
      </c>
      <c r="D51" s="259">
        <v>0.76500000000000001</v>
      </c>
      <c r="E51" s="259">
        <v>0.76500000000000001</v>
      </c>
      <c r="F51" s="259">
        <v>0.76500000000000001</v>
      </c>
      <c r="G51" s="259">
        <v>0.76500000000000001</v>
      </c>
      <c r="H51" s="259">
        <v>0.76500000000000001</v>
      </c>
      <c r="I51" s="260">
        <v>1</v>
      </c>
      <c r="J51" s="261">
        <f t="shared" si="20"/>
        <v>0.76500000000000001</v>
      </c>
      <c r="K51" s="262">
        <f t="shared" si="21"/>
        <v>0.76500000000000001</v>
      </c>
      <c r="L51" s="262">
        <f t="shared" si="22"/>
        <v>0.76500000000000001</v>
      </c>
      <c r="M51" s="262">
        <f t="shared" si="23"/>
        <v>0.76500000000000001</v>
      </c>
      <c r="N51" s="262">
        <f t="shared" si="24"/>
        <v>0.76500000000000001</v>
      </c>
    </row>
    <row r="52" spans="1:16" x14ac:dyDescent="0.2">
      <c r="A52" s="258">
        <f>$A$48+1</f>
        <v>1</v>
      </c>
      <c r="B52" s="248" t="s">
        <v>226</v>
      </c>
      <c r="C52" s="216" t="s">
        <v>464</v>
      </c>
      <c r="D52" s="259">
        <v>3.3660000000000001</v>
      </c>
      <c r="E52" s="259">
        <v>3.3660000000000001</v>
      </c>
      <c r="F52" s="259">
        <v>3.3660000000000001</v>
      </c>
      <c r="G52" s="259">
        <v>3.3660000000000001</v>
      </c>
      <c r="H52" s="259">
        <v>3.3660000000000001</v>
      </c>
      <c r="I52" s="260">
        <v>1</v>
      </c>
      <c r="J52" s="261">
        <f t="shared" si="20"/>
        <v>3.3660000000000001</v>
      </c>
      <c r="K52" s="262">
        <f t="shared" si="21"/>
        <v>3.3660000000000001</v>
      </c>
      <c r="L52" s="262">
        <f t="shared" si="22"/>
        <v>3.3660000000000001</v>
      </c>
      <c r="M52" s="262">
        <f t="shared" si="23"/>
        <v>3.3660000000000001</v>
      </c>
      <c r="N52" s="262">
        <f t="shared" si="24"/>
        <v>3.3660000000000001</v>
      </c>
    </row>
    <row r="53" spans="1:16" x14ac:dyDescent="0.2">
      <c r="A53" s="258">
        <f>$A$49+1</f>
        <v>42</v>
      </c>
      <c r="B53" s="248" t="s">
        <v>229</v>
      </c>
      <c r="C53" s="216" t="s">
        <v>465</v>
      </c>
      <c r="D53" s="259">
        <v>10.394</v>
      </c>
      <c r="E53" s="259">
        <v>10.394</v>
      </c>
      <c r="F53" s="259">
        <v>10.394</v>
      </c>
      <c r="G53" s="259">
        <v>10.394</v>
      </c>
      <c r="H53" s="259">
        <v>10.394</v>
      </c>
      <c r="I53" s="260">
        <v>1</v>
      </c>
      <c r="J53" s="261">
        <f t="shared" si="20"/>
        <v>10.394</v>
      </c>
      <c r="K53" s="262">
        <f t="shared" si="21"/>
        <v>10.394</v>
      </c>
      <c r="L53" s="262">
        <f t="shared" si="22"/>
        <v>10.394</v>
      </c>
      <c r="M53" s="262">
        <f t="shared" si="23"/>
        <v>10.394</v>
      </c>
      <c r="N53" s="262">
        <f t="shared" si="24"/>
        <v>10.394</v>
      </c>
    </row>
    <row r="54" spans="1:16" ht="13.5" thickBot="1" x14ac:dyDescent="0.25">
      <c r="A54" s="263">
        <f>$A$51+1</f>
        <v>2</v>
      </c>
      <c r="B54" s="264" t="s">
        <v>215</v>
      </c>
      <c r="C54" s="265" t="s">
        <v>466</v>
      </c>
      <c r="D54" s="266">
        <v>3.2130000000000001</v>
      </c>
      <c r="E54" s="266">
        <v>3.2130000000000001</v>
      </c>
      <c r="F54" s="266">
        <v>3.2130000000000001</v>
      </c>
      <c r="G54" s="266">
        <v>3.2130000000000001</v>
      </c>
      <c r="H54" s="266">
        <v>3.2130000000000001</v>
      </c>
      <c r="I54" s="267">
        <v>1</v>
      </c>
      <c r="J54" s="261">
        <f t="shared" si="20"/>
        <v>3.2130000000000001</v>
      </c>
      <c r="K54" s="269">
        <f t="shared" si="21"/>
        <v>3.2130000000000001</v>
      </c>
      <c r="L54" s="269">
        <f t="shared" si="22"/>
        <v>3.2130000000000001</v>
      </c>
      <c r="M54" s="269">
        <f t="shared" si="23"/>
        <v>3.2130000000000001</v>
      </c>
      <c r="N54" s="269">
        <f t="shared" si="24"/>
        <v>3.2130000000000001</v>
      </c>
    </row>
    <row r="55" spans="1:16" ht="13.5" thickTop="1" x14ac:dyDescent="0.2">
      <c r="A55" s="260"/>
      <c r="B55" s="248"/>
      <c r="C55" s="216"/>
      <c r="D55" s="216"/>
      <c r="E55" s="216"/>
      <c r="F55" s="216"/>
      <c r="G55" s="216"/>
      <c r="H55" s="216"/>
      <c r="I55" s="216"/>
      <c r="J55" s="277">
        <f>SUM(J49:J54)</f>
        <v>20.488</v>
      </c>
      <c r="K55" s="278">
        <f>SUM(K49:K54)</f>
        <v>20.488</v>
      </c>
      <c r="L55" s="461">
        <f>SUM(L49:L54)-3.005</f>
        <v>17.483000000000001</v>
      </c>
      <c r="M55" s="278">
        <f>SUM(M49:M54)</f>
        <v>20.488</v>
      </c>
      <c r="N55" s="278">
        <f>SUM(N49:N54)</f>
        <v>20.488</v>
      </c>
      <c r="O55" s="303"/>
    </row>
    <row r="56" spans="1:16" ht="15.75" x14ac:dyDescent="0.25">
      <c r="A56" s="187"/>
      <c r="B56" s="187"/>
      <c r="C56" s="187"/>
      <c r="D56" s="279"/>
      <c r="E56" s="188"/>
      <c r="F56" s="188"/>
      <c r="G56" s="188"/>
      <c r="H56" s="188"/>
      <c r="I56" s="280"/>
      <c r="J56" s="281" t="s">
        <v>167</v>
      </c>
      <c r="K56" s="462"/>
      <c r="L56" s="281"/>
      <c r="M56" s="281"/>
      <c r="N56" s="281"/>
      <c r="O56" s="456">
        <v>1</v>
      </c>
      <c r="P56" s="456" t="s">
        <v>467</v>
      </c>
    </row>
    <row r="57" spans="1:16" ht="15.75" x14ac:dyDescent="0.25">
      <c r="A57" s="187"/>
      <c r="B57" s="187"/>
      <c r="C57" s="187"/>
      <c r="D57" s="341" t="s">
        <v>380</v>
      </c>
      <c r="E57" s="188"/>
      <c r="F57" s="188"/>
      <c r="G57" s="404" t="s">
        <v>381</v>
      </c>
      <c r="H57" s="405">
        <v>0</v>
      </c>
      <c r="I57" s="280"/>
      <c r="J57" s="283">
        <f>IF(J95&gt;0.01,J95,0)</f>
        <v>0</v>
      </c>
      <c r="K57" s="283">
        <f>IF(K95&gt;0.01,K95,0)</f>
        <v>0</v>
      </c>
      <c r="L57" s="283">
        <f>IF(L95=0,SUM(L96:L101),0)*O56</f>
        <v>13.14</v>
      </c>
      <c r="M57" s="283">
        <f>IF(M95&gt;0.01,M95,0)</f>
        <v>0</v>
      </c>
      <c r="N57" s="283">
        <f>IF(N95&gt;0.01,N95,0)</f>
        <v>0</v>
      </c>
    </row>
    <row r="58" spans="1:16" ht="15.75" x14ac:dyDescent="0.25">
      <c r="A58" s="187"/>
      <c r="B58" s="187"/>
      <c r="C58" s="187"/>
      <c r="D58" s="279"/>
      <c r="E58" s="188"/>
      <c r="F58" s="188"/>
      <c r="G58" s="188"/>
      <c r="H58" s="188"/>
      <c r="I58" s="280"/>
      <c r="J58" s="281"/>
      <c r="K58" s="281"/>
      <c r="L58" s="281"/>
      <c r="M58" s="281"/>
      <c r="N58" s="281"/>
    </row>
    <row r="59" spans="1:16" ht="15.75" x14ac:dyDescent="0.25">
      <c r="B59" s="187"/>
      <c r="C59" s="187"/>
      <c r="D59" s="187" t="s">
        <v>468</v>
      </c>
      <c r="E59" s="188"/>
      <c r="F59" s="188"/>
      <c r="G59" s="188"/>
      <c r="H59" s="188"/>
      <c r="I59" s="280"/>
      <c r="J59" s="281">
        <f>J47</f>
        <v>11.113</v>
      </c>
      <c r="K59" s="281">
        <f>K47*1</f>
        <v>11.113</v>
      </c>
      <c r="L59" s="281">
        <f>L47*1</f>
        <v>15.166</v>
      </c>
      <c r="M59" s="281">
        <f>M47*1</f>
        <v>11.113</v>
      </c>
      <c r="N59" s="281">
        <f>N47*1</f>
        <v>11.113</v>
      </c>
    </row>
    <row r="60" spans="1:16" ht="15.75" x14ac:dyDescent="0.25">
      <c r="A60" s="187"/>
      <c r="B60" s="187"/>
      <c r="C60" s="187"/>
      <c r="D60" s="187"/>
      <c r="E60" s="188"/>
      <c r="F60" s="188"/>
      <c r="G60" s="188"/>
      <c r="H60" s="282"/>
      <c r="I60" s="280"/>
      <c r="J60" s="281"/>
      <c r="K60" s="281"/>
      <c r="L60" s="281"/>
      <c r="M60" s="281"/>
      <c r="N60" s="281"/>
    </row>
    <row r="61" spans="1:16" ht="15.75" x14ac:dyDescent="0.25">
      <c r="B61" s="187"/>
      <c r="C61" s="187"/>
      <c r="D61" s="187" t="s">
        <v>469</v>
      </c>
      <c r="E61" s="188"/>
      <c r="F61" s="188"/>
      <c r="G61" s="188"/>
      <c r="I61" s="280"/>
      <c r="J61" s="281">
        <f>J55</f>
        <v>20.488</v>
      </c>
      <c r="K61" s="281">
        <f>K55</f>
        <v>20.488</v>
      </c>
      <c r="L61" s="283">
        <f>+L55*H57</f>
        <v>0</v>
      </c>
      <c r="M61" s="281">
        <f>M55</f>
        <v>20.488</v>
      </c>
      <c r="N61" s="281">
        <f>N55</f>
        <v>20.488</v>
      </c>
    </row>
    <row r="62" spans="1:16" ht="15.75" x14ac:dyDescent="0.25">
      <c r="B62" s="236"/>
      <c r="C62" s="236"/>
      <c r="D62" s="236"/>
      <c r="E62" s="235"/>
      <c r="F62" s="235"/>
      <c r="G62" s="235"/>
      <c r="H62" s="188"/>
      <c r="I62" s="284"/>
      <c r="J62" s="285">
        <v>0.04</v>
      </c>
      <c r="K62" s="285">
        <v>0.04</v>
      </c>
      <c r="L62" s="448">
        <v>0.03</v>
      </c>
      <c r="M62" s="285">
        <v>0.03</v>
      </c>
      <c r="N62" s="285">
        <v>0.03</v>
      </c>
    </row>
    <row r="63" spans="1:16" ht="15.75" x14ac:dyDescent="0.25">
      <c r="B63" s="187"/>
      <c r="C63" s="187"/>
      <c r="D63" s="187" t="s">
        <v>470</v>
      </c>
      <c r="E63" s="188"/>
      <c r="F63" s="188"/>
      <c r="G63" s="188"/>
      <c r="H63" s="188"/>
      <c r="I63" s="280"/>
      <c r="J63" s="281">
        <f>J59*J62</f>
        <v>0.44451999999999997</v>
      </c>
      <c r="K63" s="281">
        <f>K59*K62</f>
        <v>0.44451999999999997</v>
      </c>
      <c r="L63" s="281">
        <f>L59*L62</f>
        <v>0.45498</v>
      </c>
      <c r="M63" s="281">
        <f>M59*M62</f>
        <v>0.33338999999999996</v>
      </c>
      <c r="N63" s="281">
        <f>N59*N62</f>
        <v>0.33338999999999996</v>
      </c>
    </row>
    <row r="64" spans="1:16" ht="15.75" x14ac:dyDescent="0.25">
      <c r="B64" s="286"/>
      <c r="C64" s="286"/>
      <c r="D64" s="286"/>
      <c r="E64" s="287"/>
      <c r="F64" s="287"/>
      <c r="G64" s="287"/>
      <c r="H64" s="287"/>
      <c r="I64" s="288"/>
      <c r="J64" s="450">
        <v>2.5000000000000001E-2</v>
      </c>
      <c r="K64" s="450">
        <v>2.5000000000000001E-2</v>
      </c>
      <c r="L64" s="450">
        <v>2.2499999999999999E-2</v>
      </c>
      <c r="M64" s="450">
        <v>2.2499999999999999E-2</v>
      </c>
      <c r="N64" s="450">
        <v>2.2499999999999999E-2</v>
      </c>
    </row>
    <row r="65" spans="2:14" ht="15.75" x14ac:dyDescent="0.25">
      <c r="B65" s="187"/>
      <c r="C65" s="187"/>
      <c r="D65" s="187" t="s">
        <v>471</v>
      </c>
      <c r="E65" s="188"/>
      <c r="F65" s="188"/>
      <c r="G65" s="188"/>
      <c r="H65" s="188"/>
      <c r="I65" s="280"/>
      <c r="J65" s="281">
        <f>J61*J64</f>
        <v>0.51219999999999999</v>
      </c>
      <c r="K65" s="281">
        <f>K61*K64</f>
        <v>0.51219999999999999</v>
      </c>
      <c r="L65" s="283">
        <f>L61*L64+IF(H57=0,L55*0.01,0)</f>
        <v>0.17483000000000001</v>
      </c>
      <c r="M65" s="281">
        <f>M61*M64</f>
        <v>0.46097999999999995</v>
      </c>
      <c r="N65" s="281">
        <f>N61*N64</f>
        <v>0.46097999999999995</v>
      </c>
    </row>
    <row r="66" spans="2:14" ht="15.75" x14ac:dyDescent="0.25">
      <c r="B66" s="286"/>
      <c r="C66" s="286"/>
      <c r="D66" s="286"/>
      <c r="E66" s="287"/>
      <c r="F66" s="287"/>
      <c r="G66" s="287"/>
      <c r="H66" s="287"/>
      <c r="I66" s="287"/>
      <c r="J66" s="451">
        <v>0.01</v>
      </c>
      <c r="K66" s="451">
        <v>0.01</v>
      </c>
      <c r="L66" s="452">
        <v>5.0000000000000001E-3</v>
      </c>
      <c r="M66" s="451">
        <v>5.0000000000000001E-3</v>
      </c>
      <c r="N66" s="451">
        <v>5.0000000000000001E-3</v>
      </c>
    </row>
    <row r="67" spans="2:14" ht="15.75" x14ac:dyDescent="0.25">
      <c r="B67" s="187"/>
      <c r="C67" s="187"/>
      <c r="D67" s="187" t="s">
        <v>472</v>
      </c>
      <c r="E67" s="188"/>
      <c r="F67" s="188"/>
      <c r="G67" s="188"/>
      <c r="H67" s="188"/>
      <c r="I67" s="188"/>
      <c r="J67" s="281">
        <f>J61*J66</f>
        <v>0.20488000000000001</v>
      </c>
      <c r="K67" s="281">
        <f>K61*K66</f>
        <v>0.20488000000000001</v>
      </c>
      <c r="L67" s="283">
        <f>L61*L66</f>
        <v>0</v>
      </c>
      <c r="M67" s="281">
        <f>M61*M66</f>
        <v>0.10244</v>
      </c>
      <c r="N67" s="281">
        <f>N61*N66</f>
        <v>0.10244</v>
      </c>
    </row>
    <row r="68" spans="2:14" ht="15.75" x14ac:dyDescent="0.25">
      <c r="B68" s="187"/>
      <c r="C68" s="187"/>
      <c r="D68" s="187"/>
      <c r="E68" s="188"/>
      <c r="F68" s="188"/>
      <c r="G68" s="188"/>
      <c r="H68" s="188"/>
      <c r="I68" s="188"/>
      <c r="J68" s="281"/>
      <c r="K68" s="281"/>
      <c r="L68" s="281"/>
      <c r="M68" s="281"/>
      <c r="N68" s="281"/>
    </row>
    <row r="69" spans="2:14" ht="15.75" x14ac:dyDescent="0.25">
      <c r="B69" s="187"/>
      <c r="C69" s="187"/>
      <c r="D69" s="187" t="s">
        <v>473</v>
      </c>
      <c r="E69" s="188"/>
      <c r="F69" s="188"/>
      <c r="G69" s="188"/>
      <c r="H69" s="188"/>
      <c r="I69" s="188"/>
      <c r="J69" s="281">
        <v>0.33</v>
      </c>
      <c r="K69" s="281">
        <v>0.33</v>
      </c>
      <c r="L69" s="281">
        <v>0.33</v>
      </c>
      <c r="M69" s="281">
        <v>0.33</v>
      </c>
      <c r="N69" s="281">
        <v>0.33</v>
      </c>
    </row>
    <row r="70" spans="2:14" ht="15.75" x14ac:dyDescent="0.25">
      <c r="B70" s="187"/>
      <c r="C70" s="187"/>
      <c r="D70" s="187"/>
      <c r="E70" s="188"/>
      <c r="F70" s="188"/>
      <c r="G70" s="188"/>
      <c r="H70" s="188"/>
      <c r="I70" s="188"/>
      <c r="J70" s="281"/>
      <c r="K70" s="281"/>
      <c r="L70" s="281"/>
      <c r="M70" s="281"/>
      <c r="N70" s="281"/>
    </row>
    <row r="71" spans="2:14" ht="15.75" x14ac:dyDescent="0.25">
      <c r="B71" s="188"/>
      <c r="C71" s="187"/>
      <c r="D71" s="187" t="s">
        <v>474</v>
      </c>
      <c r="E71" s="188"/>
      <c r="F71" s="188"/>
      <c r="G71" s="188"/>
      <c r="H71" s="188"/>
      <c r="I71" s="188"/>
      <c r="J71" s="281">
        <v>0</v>
      </c>
      <c r="K71" s="281">
        <v>0</v>
      </c>
      <c r="L71" s="281">
        <v>0</v>
      </c>
      <c r="M71" s="281">
        <v>0</v>
      </c>
      <c r="N71" s="281">
        <v>0</v>
      </c>
    </row>
    <row r="72" spans="2:14" ht="15.75" x14ac:dyDescent="0.25">
      <c r="B72" s="188"/>
      <c r="C72" s="187"/>
      <c r="D72" s="187"/>
      <c r="E72" s="188"/>
      <c r="F72" s="188"/>
      <c r="G72" s="188"/>
      <c r="H72" s="188"/>
      <c r="I72" s="188"/>
      <c r="J72" s="281"/>
      <c r="K72" s="281"/>
      <c r="L72" s="281"/>
      <c r="M72" s="281"/>
      <c r="N72" s="281"/>
    </row>
    <row r="73" spans="2:14" ht="15.75" x14ac:dyDescent="0.25">
      <c r="B73" s="187"/>
      <c r="C73" s="187"/>
      <c r="D73" s="187" t="s">
        <v>475</v>
      </c>
      <c r="E73" s="188"/>
      <c r="F73" s="188"/>
      <c r="G73" s="188"/>
      <c r="H73" s="188"/>
      <c r="I73" s="188"/>
      <c r="J73" s="289">
        <f>J71+J69+J67+J65+J63+J61+J59</f>
        <v>33.092599999999997</v>
      </c>
      <c r="K73" s="289">
        <f>K71+K69+K67+K65+K63+K61+K59</f>
        <v>33.092599999999997</v>
      </c>
      <c r="L73" s="289">
        <f>L71+L69+L67+L65+L63+L61+L59</f>
        <v>16.125810000000001</v>
      </c>
      <c r="M73" s="289">
        <f>M71+M69+M67+M65+M63+M61+M59</f>
        <v>32.827809999999999</v>
      </c>
      <c r="N73" s="289">
        <f>N71+N69+N67+N65+N63+N61+N59</f>
        <v>32.827809999999999</v>
      </c>
    </row>
    <row r="74" spans="2:14" ht="15.75" x14ac:dyDescent="0.25">
      <c r="B74" s="187"/>
      <c r="C74" s="187"/>
      <c r="D74" s="187"/>
      <c r="E74" s="188"/>
      <c r="F74" s="188"/>
      <c r="G74" s="188"/>
      <c r="H74" s="188"/>
      <c r="I74" s="188"/>
      <c r="J74" s="290"/>
      <c r="K74" s="290"/>
      <c r="L74" s="290"/>
      <c r="M74" s="290"/>
      <c r="N74" s="290"/>
    </row>
    <row r="75" spans="2:14" ht="15.75" x14ac:dyDescent="0.25">
      <c r="B75" s="187"/>
      <c r="C75" s="187"/>
      <c r="D75" s="291" t="s">
        <v>393</v>
      </c>
      <c r="E75" s="188"/>
      <c r="F75" s="188">
        <v>10.199999999999999</v>
      </c>
      <c r="G75" s="292" t="s">
        <v>295</v>
      </c>
      <c r="H75" s="293">
        <v>9.0787999999999993</v>
      </c>
      <c r="I75" s="294" t="s">
        <v>295</v>
      </c>
      <c r="J75" s="281">
        <f>0.2576*10.98</f>
        <v>2.8284479999999999</v>
      </c>
      <c r="K75" s="281">
        <f>0.2576*10.98</f>
        <v>2.8284479999999999</v>
      </c>
      <c r="L75" s="283">
        <f>0.2576*H75</f>
        <v>2.3386988799999999</v>
      </c>
      <c r="M75" s="281">
        <f>0.2576*10.2</f>
        <v>2.6275199999999996</v>
      </c>
      <c r="N75" s="281">
        <f>0.2576*10.2</f>
        <v>2.6275199999999996</v>
      </c>
    </row>
    <row r="76" spans="2:14" ht="15.75" x14ac:dyDescent="0.25">
      <c r="B76" s="187"/>
      <c r="C76" s="187"/>
      <c r="D76" s="187"/>
      <c r="E76" s="188"/>
      <c r="F76" s="188"/>
      <c r="G76" s="188"/>
      <c r="H76" s="293"/>
      <c r="I76" s="293"/>
      <c r="J76" s="281"/>
      <c r="K76" s="281"/>
      <c r="L76" s="281"/>
      <c r="M76" s="281"/>
      <c r="N76" s="281"/>
    </row>
    <row r="77" spans="2:14" ht="15.75" x14ac:dyDescent="0.25">
      <c r="B77" s="187"/>
      <c r="C77" s="187"/>
      <c r="D77" s="291" t="s">
        <v>476</v>
      </c>
      <c r="E77" s="188"/>
      <c r="F77" s="188">
        <v>10.199999999999999</v>
      </c>
      <c r="G77" s="292" t="s">
        <v>295</v>
      </c>
      <c r="H77" s="293">
        <v>9.0787999999999993</v>
      </c>
      <c r="I77" s="294" t="s">
        <v>295</v>
      </c>
      <c r="J77" s="281">
        <f>0.0216*10.96</f>
        <v>0.23673600000000003</v>
      </c>
      <c r="K77" s="281">
        <f>0.0216*10.96</f>
        <v>0.23673600000000003</v>
      </c>
      <c r="L77" s="283">
        <f>0.02176*H77</f>
        <v>0.19755468800000001</v>
      </c>
      <c r="M77" s="281">
        <f>0.0216*10.2</f>
        <v>0.22031999999999999</v>
      </c>
      <c r="N77" s="281">
        <f>0.0216*10.2</f>
        <v>0.22031999999999999</v>
      </c>
    </row>
    <row r="78" spans="2:14" ht="15.75" x14ac:dyDescent="0.25">
      <c r="B78" s="187"/>
      <c r="C78" s="187"/>
      <c r="D78" s="187"/>
      <c r="E78" s="188"/>
      <c r="F78" s="188"/>
      <c r="G78" s="188"/>
      <c r="H78" s="293"/>
      <c r="I78" s="293"/>
      <c r="J78" s="281"/>
      <c r="K78" s="281"/>
      <c r="L78" s="281"/>
      <c r="M78" s="281"/>
      <c r="N78" s="281"/>
    </row>
    <row r="79" spans="2:14" ht="15.75" x14ac:dyDescent="0.25">
      <c r="B79" s="187"/>
      <c r="C79" s="187"/>
      <c r="D79" s="291" t="s">
        <v>477</v>
      </c>
      <c r="E79" s="188"/>
      <c r="F79" s="188">
        <v>10.199999999999999</v>
      </c>
      <c r="G79" s="292" t="s">
        <v>295</v>
      </c>
      <c r="H79" s="293">
        <v>10.199999999999999</v>
      </c>
      <c r="I79" s="294" t="s">
        <v>295</v>
      </c>
      <c r="J79" s="281">
        <f>0.039*10.92</f>
        <v>0.42587999999999998</v>
      </c>
      <c r="K79" s="281">
        <f>0.039*10.92</f>
        <v>0.42587999999999998</v>
      </c>
      <c r="L79" s="283">
        <f>0.039*H79*0</f>
        <v>0</v>
      </c>
      <c r="M79" s="281">
        <f>0.039*10.2</f>
        <v>0.39779999999999999</v>
      </c>
      <c r="N79" s="281">
        <f>0.039*10.2</f>
        <v>0.39779999999999999</v>
      </c>
    </row>
    <row r="80" spans="2:14" ht="15.75" x14ac:dyDescent="0.25">
      <c r="B80" s="187"/>
      <c r="C80" s="187"/>
      <c r="D80" s="187"/>
      <c r="E80" s="188"/>
      <c r="F80" s="188"/>
      <c r="G80" s="188"/>
      <c r="H80" s="188"/>
      <c r="I80" s="188"/>
      <c r="J80" s="281"/>
      <c r="K80" s="281"/>
      <c r="L80" s="281"/>
      <c r="M80" s="281"/>
      <c r="N80" s="281"/>
    </row>
    <row r="81" spans="1:14" ht="15.75" x14ac:dyDescent="0.25">
      <c r="B81" s="187"/>
      <c r="C81" s="187"/>
      <c r="D81" s="187" t="s">
        <v>401</v>
      </c>
      <c r="E81" s="188"/>
      <c r="F81" s="188"/>
      <c r="G81" s="188"/>
      <c r="H81" s="188"/>
      <c r="I81" s="280"/>
      <c r="J81" s="295">
        <f>SUM(J75:J79)</f>
        <v>3.4910639999999997</v>
      </c>
      <c r="K81" s="295">
        <f>SUM(K75:K79)</f>
        <v>3.4910639999999997</v>
      </c>
      <c r="L81" s="295">
        <f>SUM(L75:L79)</f>
        <v>2.5362535679999998</v>
      </c>
      <c r="M81" s="295">
        <f>SUM(M75:M79)</f>
        <v>3.2456399999999999</v>
      </c>
      <c r="N81" s="295">
        <f>SUM(N75:N79)</f>
        <v>3.2456399999999999</v>
      </c>
    </row>
    <row r="82" spans="1:14" ht="15.75" x14ac:dyDescent="0.25">
      <c r="B82" s="187"/>
      <c r="C82" s="187"/>
      <c r="D82" s="187"/>
      <c r="E82" s="188"/>
      <c r="F82" s="188"/>
      <c r="G82" s="188"/>
      <c r="H82" s="188"/>
      <c r="I82" s="280"/>
      <c r="J82" s="281"/>
      <c r="K82" s="281"/>
      <c r="L82" s="281"/>
      <c r="M82" s="281"/>
      <c r="N82" s="281"/>
    </row>
    <row r="83" spans="1:14" ht="15.75" x14ac:dyDescent="0.25">
      <c r="B83" s="187"/>
      <c r="C83" s="187"/>
      <c r="D83" s="187" t="s">
        <v>402</v>
      </c>
      <c r="E83" s="188"/>
      <c r="F83" s="188"/>
      <c r="G83" s="188"/>
      <c r="H83" s="188"/>
      <c r="I83" s="188"/>
      <c r="J83" s="290">
        <f>J73+J81</f>
        <v>36.583663999999999</v>
      </c>
      <c r="K83" s="290">
        <f>K73+K81</f>
        <v>36.583663999999999</v>
      </c>
      <c r="L83" s="290">
        <f>L73+L81</f>
        <v>18.662063568000001</v>
      </c>
      <c r="M83" s="290">
        <f>M73+M81</f>
        <v>36.073450000000001</v>
      </c>
      <c r="N83" s="290">
        <f>N73+N81</f>
        <v>36.073450000000001</v>
      </c>
    </row>
    <row r="84" spans="1:14" ht="15.75" x14ac:dyDescent="0.25">
      <c r="B84" s="187"/>
      <c r="C84" s="187"/>
      <c r="D84" s="187"/>
      <c r="E84" s="188"/>
      <c r="F84" s="188"/>
      <c r="G84" s="188"/>
      <c r="H84" s="188"/>
      <c r="I84" s="188"/>
      <c r="J84" s="296">
        <v>0.01</v>
      </c>
      <c r="K84" s="296">
        <v>0.01</v>
      </c>
      <c r="L84" s="297">
        <v>0.01</v>
      </c>
      <c r="M84" s="296">
        <v>0.01</v>
      </c>
      <c r="N84" s="296">
        <v>0.01</v>
      </c>
    </row>
    <row r="85" spans="1:14" ht="15.75" x14ac:dyDescent="0.25">
      <c r="B85" s="187"/>
      <c r="C85" s="187"/>
      <c r="D85" s="187" t="s">
        <v>478</v>
      </c>
      <c r="E85" s="188"/>
      <c r="F85" s="188"/>
      <c r="G85" s="188"/>
      <c r="H85" s="188"/>
      <c r="I85" s="188"/>
      <c r="J85" s="298">
        <f>J83*J84</f>
        <v>0.36583663999999999</v>
      </c>
      <c r="K85" s="298">
        <f>K83*K84</f>
        <v>0.36583663999999999</v>
      </c>
      <c r="L85" s="298">
        <f>L83*L84</f>
        <v>0.18662063568000001</v>
      </c>
      <c r="M85" s="298">
        <f>M83*M84</f>
        <v>0.36073450000000001</v>
      </c>
      <c r="N85" s="298">
        <f>N83*N84</f>
        <v>0.36073450000000001</v>
      </c>
    </row>
    <row r="86" spans="1:14" ht="15.75" x14ac:dyDescent="0.25">
      <c r="B86" s="187"/>
      <c r="C86" s="187"/>
      <c r="D86" s="394" t="s">
        <v>479</v>
      </c>
      <c r="E86" s="188"/>
      <c r="F86" s="188"/>
      <c r="G86" s="188"/>
      <c r="H86" s="188"/>
      <c r="I86" s="188"/>
      <c r="J86" s="290"/>
      <c r="K86" s="290"/>
      <c r="L86" s="299">
        <f>+(L83+L85+L57+L95+IF(L61&gt;0,0,L61))*O56</f>
        <v>31.988684203680002</v>
      </c>
      <c r="M86" s="290"/>
      <c r="N86" s="290"/>
    </row>
    <row r="87" spans="1:14" ht="15.75" x14ac:dyDescent="0.25">
      <c r="B87" s="187"/>
      <c r="C87" s="187"/>
      <c r="D87" s="187" t="s">
        <v>480</v>
      </c>
      <c r="E87" s="188"/>
      <c r="F87" s="188"/>
      <c r="G87" s="188"/>
      <c r="H87" s="188"/>
      <c r="I87" s="188"/>
      <c r="J87" s="300">
        <f>J83+J85</f>
        <v>36.949500639999997</v>
      </c>
      <c r="K87" s="300">
        <f>K83+K85</f>
        <v>36.949500639999997</v>
      </c>
      <c r="L87" s="300">
        <f>+(L83+L85)*O56</f>
        <v>18.848684203680001</v>
      </c>
      <c r="M87" s="300">
        <f>M83+M85</f>
        <v>36.434184500000001</v>
      </c>
      <c r="N87" s="300">
        <f>N83+N85</f>
        <v>36.434184500000001</v>
      </c>
    </row>
    <row r="88" spans="1:14" x14ac:dyDescent="0.2">
      <c r="B88" s="216"/>
      <c r="C88" s="216"/>
      <c r="D88" s="216"/>
      <c r="E88" s="216"/>
      <c r="F88" s="216"/>
      <c r="G88" s="216"/>
      <c r="H88" s="216"/>
      <c r="I88" s="216"/>
      <c r="J88" s="296"/>
      <c r="K88" s="301"/>
      <c r="L88" s="228"/>
      <c r="M88" s="216"/>
      <c r="N88" s="216"/>
    </row>
    <row r="89" spans="1:14" x14ac:dyDescent="0.2">
      <c r="B89" s="216"/>
      <c r="C89" s="216"/>
      <c r="D89" s="57" t="s">
        <v>406</v>
      </c>
      <c r="E89" s="216"/>
      <c r="F89" s="216"/>
      <c r="G89" s="216"/>
      <c r="H89" s="216"/>
      <c r="I89" s="216"/>
      <c r="J89" s="302">
        <f>J63+J65+J67+J75+J77+J79+J85</f>
        <v>5.0185006400000001</v>
      </c>
      <c r="K89" s="302">
        <f>K63+K65+K67+K75+K77+K79+K85</f>
        <v>5.0185006400000001</v>
      </c>
      <c r="L89" s="302">
        <f>(L63+L65+L67+L69+L75+L77+L79+L85)*O56</f>
        <v>3.68268420368</v>
      </c>
      <c r="M89" s="302">
        <f>M63+M65+M67+M75+M77+M79+M85</f>
        <v>4.5031844999999997</v>
      </c>
      <c r="N89" s="302">
        <f>N63+N65+N67+N75+N77+N79+N85</f>
        <v>4.5031844999999997</v>
      </c>
    </row>
    <row r="90" spans="1:14" x14ac:dyDescent="0.2">
      <c r="L90" s="454">
        <f>+L91-L69</f>
        <v>3.3526842036800009</v>
      </c>
    </row>
    <row r="91" spans="1:14" x14ac:dyDescent="0.2">
      <c r="J91" s="303">
        <f>+J87-J47-J55</f>
        <v>5.3485006399999975</v>
      </c>
      <c r="K91" s="303">
        <f>+K87-K47-K55</f>
        <v>5.3485006399999975</v>
      </c>
      <c r="L91" s="303">
        <f>+L87-L47-IF(H57=0,0,L55)</f>
        <v>3.6826842036800009</v>
      </c>
      <c r="M91" s="303">
        <f>+M87-M47-M55</f>
        <v>4.8331845000000015</v>
      </c>
      <c r="N91" s="303">
        <f>+N87-N47-N55</f>
        <v>4.8331845000000015</v>
      </c>
    </row>
    <row r="92" spans="1:14" ht="14.25" x14ac:dyDescent="0.2">
      <c r="K92" s="426" t="s">
        <v>481</v>
      </c>
      <c r="L92" s="427">
        <f>+L86-L89</f>
        <v>28.306000000000001</v>
      </c>
      <c r="M92" s="303"/>
    </row>
    <row r="93" spans="1:14" ht="14.25" x14ac:dyDescent="0.2">
      <c r="K93" s="426" t="s">
        <v>482</v>
      </c>
      <c r="L93" s="428">
        <f>+L57*80000</f>
        <v>1051200</v>
      </c>
    </row>
    <row r="94" spans="1:14" x14ac:dyDescent="0.2">
      <c r="C94" s="76" t="s">
        <v>483</v>
      </c>
    </row>
    <row r="95" spans="1:14" x14ac:dyDescent="0.2">
      <c r="C95" s="388">
        <v>0.02</v>
      </c>
      <c r="D95" s="57" t="s">
        <v>288</v>
      </c>
      <c r="J95" s="352">
        <f>IF(J61&gt;1,-J61/(1+$C$95),0)+SUM(J96:J101)</f>
        <v>-4.2962745098039221</v>
      </c>
      <c r="K95" s="352">
        <f>IF(K61&gt;1,-K61/(1+$C$95),0)+SUM(K96:K101)</f>
        <v>-4.2962745098039221</v>
      </c>
      <c r="L95" s="352">
        <f>IF(L61&gt;1,-(L61-((150000/12)/50000))+SUM(L96:L101),0)</f>
        <v>0</v>
      </c>
      <c r="M95" s="352">
        <f>IF(M61&gt;1,-M61/(1+$C$95),0)+SUM(M96:M101)</f>
        <v>-4.2962745098039221</v>
      </c>
      <c r="N95" s="352">
        <f>IF(N61&gt;1,-N61/(1+$C$95),0)+SUM(N96:N101)</f>
        <v>-4.2962745098039221</v>
      </c>
    </row>
    <row r="96" spans="1:14" x14ac:dyDescent="0.2">
      <c r="A96" s="273"/>
      <c r="B96" s="373" t="s">
        <v>244</v>
      </c>
      <c r="C96" s="272" t="s">
        <v>245</v>
      </c>
      <c r="D96" s="389">
        <v>0.95</v>
      </c>
      <c r="E96" s="389">
        <v>0.95</v>
      </c>
      <c r="F96" s="463">
        <v>0</v>
      </c>
      <c r="G96" s="389">
        <v>0.95</v>
      </c>
      <c r="H96" s="389">
        <v>0.95</v>
      </c>
      <c r="I96" s="274">
        <v>2</v>
      </c>
      <c r="J96" s="374">
        <f>+D96*$I96</f>
        <v>1.9</v>
      </c>
      <c r="K96" s="374">
        <f>+E96*$I96</f>
        <v>1.9</v>
      </c>
      <c r="L96" s="374">
        <f t="shared" ref="L96:L101" si="25">F96*I96</f>
        <v>0</v>
      </c>
      <c r="M96" s="374">
        <f>+G96*$I96</f>
        <v>1.9</v>
      </c>
      <c r="N96" s="375">
        <f>+H96*$I96</f>
        <v>1.9</v>
      </c>
    </row>
    <row r="97" spans="1:15" x14ac:dyDescent="0.2">
      <c r="A97" s="379">
        <f>$A$31+1</f>
        <v>26</v>
      </c>
      <c r="B97" s="376" t="s">
        <v>210</v>
      </c>
      <c r="C97" s="377" t="s">
        <v>462</v>
      </c>
      <c r="D97" s="390">
        <v>0.3</v>
      </c>
      <c r="E97" s="390">
        <v>0.3</v>
      </c>
      <c r="F97" s="390">
        <v>0.3</v>
      </c>
      <c r="G97" s="390">
        <v>0.3</v>
      </c>
      <c r="H97" s="390">
        <v>0.3</v>
      </c>
      <c r="I97" s="379">
        <v>1</v>
      </c>
      <c r="J97" s="380">
        <f>I97*D97</f>
        <v>0.3</v>
      </c>
      <c r="K97" s="380">
        <f>E97*I97</f>
        <v>0.3</v>
      </c>
      <c r="L97" s="380">
        <f t="shared" si="25"/>
        <v>0.3</v>
      </c>
      <c r="M97" s="380">
        <f>G97*I97</f>
        <v>0.3</v>
      </c>
      <c r="N97" s="381">
        <f>H97*I97</f>
        <v>0.3</v>
      </c>
    </row>
    <row r="98" spans="1:15" x14ac:dyDescent="0.2">
      <c r="A98" s="378"/>
      <c r="B98" s="376" t="s">
        <v>212</v>
      </c>
      <c r="C98" s="377" t="s">
        <v>463</v>
      </c>
      <c r="D98" s="390">
        <v>0.75</v>
      </c>
      <c r="E98" s="390">
        <v>0.75</v>
      </c>
      <c r="F98" s="464">
        <v>0</v>
      </c>
      <c r="G98" s="390">
        <v>0.75</v>
      </c>
      <c r="H98" s="390">
        <v>0.75</v>
      </c>
      <c r="I98" s="379">
        <v>1</v>
      </c>
      <c r="J98" s="380">
        <f t="shared" ref="J98:N101" si="26">+D98*$I98</f>
        <v>0.75</v>
      </c>
      <c r="K98" s="380">
        <f t="shared" si="26"/>
        <v>0.75</v>
      </c>
      <c r="L98" s="380">
        <f t="shared" si="25"/>
        <v>0</v>
      </c>
      <c r="M98" s="380">
        <f t="shared" si="26"/>
        <v>0.75</v>
      </c>
      <c r="N98" s="381">
        <f t="shared" si="26"/>
        <v>0.75</v>
      </c>
    </row>
    <row r="99" spans="1:15" x14ac:dyDescent="0.2">
      <c r="A99" s="378"/>
      <c r="B99" s="376" t="s">
        <v>226</v>
      </c>
      <c r="C99" s="377" t="s">
        <v>464</v>
      </c>
      <c r="D99" s="390">
        <v>2.11</v>
      </c>
      <c r="E99" s="390">
        <v>2.11</v>
      </c>
      <c r="F99" s="390">
        <v>2.11</v>
      </c>
      <c r="G99" s="390">
        <v>2.11</v>
      </c>
      <c r="H99" s="390">
        <v>2.11</v>
      </c>
      <c r="I99" s="379">
        <v>1</v>
      </c>
      <c r="J99" s="380">
        <f t="shared" si="26"/>
        <v>2.11</v>
      </c>
      <c r="K99" s="380">
        <f t="shared" si="26"/>
        <v>2.11</v>
      </c>
      <c r="L99" s="380">
        <f t="shared" si="25"/>
        <v>2.11</v>
      </c>
      <c r="M99" s="380">
        <f t="shared" si="26"/>
        <v>2.11</v>
      </c>
      <c r="N99" s="381">
        <f t="shared" si="26"/>
        <v>2.11</v>
      </c>
    </row>
    <row r="100" spans="1:15" x14ac:dyDescent="0.2">
      <c r="A100" s="378"/>
      <c r="B100" s="376" t="s">
        <v>229</v>
      </c>
      <c r="C100" s="377" t="s">
        <v>465</v>
      </c>
      <c r="D100" s="390">
        <v>8.1</v>
      </c>
      <c r="E100" s="390">
        <v>8.1</v>
      </c>
      <c r="F100" s="390">
        <v>8.1</v>
      </c>
      <c r="G100" s="390">
        <v>8.1</v>
      </c>
      <c r="H100" s="390">
        <v>8.1</v>
      </c>
      <c r="I100" s="379">
        <v>1</v>
      </c>
      <c r="J100" s="380">
        <f t="shared" si="26"/>
        <v>8.1</v>
      </c>
      <c r="K100" s="380">
        <f t="shared" si="26"/>
        <v>8.1</v>
      </c>
      <c r="L100" s="380">
        <f t="shared" si="25"/>
        <v>8.1</v>
      </c>
      <c r="M100" s="380">
        <f t="shared" si="26"/>
        <v>8.1</v>
      </c>
      <c r="N100" s="381">
        <f t="shared" si="26"/>
        <v>8.1</v>
      </c>
    </row>
    <row r="101" spans="1:15" x14ac:dyDescent="0.2">
      <c r="A101" s="384"/>
      <c r="B101" s="382" t="s">
        <v>215</v>
      </c>
      <c r="C101" s="383" t="s">
        <v>466</v>
      </c>
      <c r="D101" s="391">
        <v>2.63</v>
      </c>
      <c r="E101" s="391">
        <v>2.63</v>
      </c>
      <c r="F101" s="391">
        <v>2.63</v>
      </c>
      <c r="G101" s="391">
        <v>2.63</v>
      </c>
      <c r="H101" s="391">
        <v>2.63</v>
      </c>
      <c r="I101" s="385">
        <v>1</v>
      </c>
      <c r="J101" s="386">
        <f t="shared" si="26"/>
        <v>2.63</v>
      </c>
      <c r="K101" s="386">
        <f t="shared" si="26"/>
        <v>2.63</v>
      </c>
      <c r="L101" s="386">
        <f t="shared" si="25"/>
        <v>2.63</v>
      </c>
      <c r="M101" s="386">
        <f t="shared" si="26"/>
        <v>2.63</v>
      </c>
      <c r="N101" s="387">
        <f t="shared" si="26"/>
        <v>2.63</v>
      </c>
    </row>
    <row r="102" spans="1:15" x14ac:dyDescent="0.2">
      <c r="L102" s="352"/>
      <c r="N102" s="352"/>
      <c r="O102" s="352"/>
    </row>
  </sheetData>
  <printOptions gridLines="1" gridLinesSet="0"/>
  <pageMargins left="0.75" right="0.75" top="1" bottom="1" header="0.511811024" footer="0.511811024"/>
  <pageSetup scale="76" fitToHeight="0" orientation="landscape" r:id="rId1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76"/>
  <sheetViews>
    <sheetView workbookViewId="0">
      <pane xSplit="1" ySplit="5" topLeftCell="AC18" activePane="bottomRight" state="frozen"/>
      <selection pane="topRight" activeCell="B1" sqref="B1"/>
      <selection pane="bottomLeft" activeCell="A6" sqref="A6"/>
      <selection pane="bottomRight" activeCell="A10" sqref="A10"/>
    </sheetView>
  </sheetViews>
  <sheetFormatPr baseColWidth="10" defaultRowHeight="12.75" x14ac:dyDescent="0.2"/>
  <cols>
    <col min="1" max="1" width="30" customWidth="1"/>
    <col min="2" max="2" width="4.85546875" style="304" customWidth="1"/>
    <col min="3" max="33" width="4.85546875" customWidth="1"/>
    <col min="34" max="37" width="10" customWidth="1"/>
    <col min="38" max="54" width="11.42578125" customWidth="1"/>
    <col min="55" max="57" width="4" customWidth="1"/>
  </cols>
  <sheetData>
    <row r="1" spans="1:75" ht="15.75" x14ac:dyDescent="0.25">
      <c r="AJ1" s="76"/>
      <c r="AK1" s="76"/>
      <c r="AN1" s="138" t="s">
        <v>0</v>
      </c>
      <c r="AY1" s="177" t="s">
        <v>2</v>
      </c>
      <c r="AZ1" s="177"/>
      <c r="BA1" s="178" t="s">
        <v>3</v>
      </c>
      <c r="BB1" s="177"/>
      <c r="BC1" t="s">
        <v>167</v>
      </c>
      <c r="BF1" s="138" t="s">
        <v>4</v>
      </c>
      <c r="BJ1" s="85" t="s">
        <v>3</v>
      </c>
    </row>
    <row r="2" spans="1:75" ht="13.5" thickBot="1" x14ac:dyDescent="0.25">
      <c r="B2" s="305" t="s">
        <v>484</v>
      </c>
      <c r="AH2" s="76"/>
      <c r="AJ2" s="76"/>
      <c r="AK2" s="76"/>
      <c r="AU2" s="177" t="s">
        <v>485</v>
      </c>
      <c r="AV2" s="177"/>
      <c r="AW2" t="s">
        <v>486</v>
      </c>
      <c r="AY2" s="177" t="s">
        <v>487</v>
      </c>
      <c r="AZ2" s="177"/>
      <c r="BA2" s="177" t="s">
        <v>8</v>
      </c>
      <c r="BB2" s="177"/>
      <c r="BL2" s="178" t="s">
        <v>488</v>
      </c>
      <c r="BM2" s="177"/>
      <c r="BN2" s="177"/>
      <c r="BO2" s="177"/>
      <c r="BP2" s="177"/>
      <c r="BQ2" s="177"/>
      <c r="BS2" s="177"/>
      <c r="BT2" s="177"/>
      <c r="BV2" s="177" t="s">
        <v>489</v>
      </c>
      <c r="BW2" s="177"/>
    </row>
    <row r="3" spans="1:75" ht="51.75" x14ac:dyDescent="0.25">
      <c r="AJ3" s="76"/>
      <c r="AK3" s="76"/>
      <c r="AN3" s="20"/>
      <c r="AO3" s="21" t="s">
        <v>10</v>
      </c>
      <c r="AP3" s="21"/>
      <c r="AQ3" s="21" t="s">
        <v>11</v>
      </c>
      <c r="AR3" s="21"/>
      <c r="AS3" s="21" t="s">
        <v>12</v>
      </c>
      <c r="AT3" s="21" t="s">
        <v>13</v>
      </c>
      <c r="AU3" s="21" t="s">
        <v>14</v>
      </c>
      <c r="AV3" s="21" t="s">
        <v>15</v>
      </c>
      <c r="AW3" s="21" t="s">
        <v>14</v>
      </c>
      <c r="AX3" s="21" t="s">
        <v>15</v>
      </c>
      <c r="AY3" s="21" t="s">
        <v>14</v>
      </c>
      <c r="AZ3" s="21" t="s">
        <v>15</v>
      </c>
      <c r="BA3" s="21" t="s">
        <v>14</v>
      </c>
      <c r="BB3" s="21" t="s">
        <v>15</v>
      </c>
      <c r="BF3" s="130"/>
      <c r="BG3" s="94"/>
      <c r="BH3" s="142" t="s">
        <v>490</v>
      </c>
      <c r="BI3" s="143"/>
      <c r="BJ3" s="144" t="s">
        <v>8</v>
      </c>
      <c r="BK3" s="95"/>
      <c r="BL3" s="333" t="s">
        <v>491</v>
      </c>
      <c r="BM3" s="333" t="s">
        <v>492</v>
      </c>
      <c r="BN3" s="333" t="s">
        <v>493</v>
      </c>
      <c r="BO3" s="333" t="s">
        <v>291</v>
      </c>
      <c r="BP3" s="333" t="s">
        <v>494</v>
      </c>
      <c r="BQ3" s="333" t="s">
        <v>495</v>
      </c>
      <c r="BS3" s="177" t="s">
        <v>496</v>
      </c>
      <c r="BT3" s="177"/>
      <c r="BV3" t="s">
        <v>299</v>
      </c>
      <c r="BW3" t="s">
        <v>298</v>
      </c>
    </row>
    <row r="4" spans="1:75" ht="18.75" thickBot="1" x14ac:dyDescent="0.3">
      <c r="AJ4" s="76"/>
      <c r="AK4" s="76"/>
      <c r="AN4" s="22" t="s">
        <v>17</v>
      </c>
      <c r="AO4" s="23" t="s">
        <v>18</v>
      </c>
      <c r="AP4" s="23"/>
      <c r="AQ4" s="23" t="s">
        <v>19</v>
      </c>
      <c r="AR4" s="23"/>
      <c r="AS4" s="23"/>
      <c r="AT4" s="23"/>
      <c r="AU4" s="93"/>
      <c r="AV4" s="24">
        <f>SUM(AV6:AV12)+AV13+AV22+AV28+AV29+AV105+AV107+AV116+AV55</f>
        <v>139.5565313557143</v>
      </c>
      <c r="AW4" s="93"/>
      <c r="AX4" s="24">
        <f>SUM(AX6:AX12)+AX13+AX22+AX28+AX29+AX105+AX107+AX116+AX55</f>
        <v>129.26064005571428</v>
      </c>
      <c r="AY4" s="93"/>
      <c r="AZ4" s="24">
        <f>SUM(AZ6:AZ12)+AZ13+AZ22+AZ28+AZ29+AZ105+AZ107+AZ116+AZ55</f>
        <v>127.09690735571428</v>
      </c>
      <c r="BA4" s="23"/>
      <c r="BB4" s="24">
        <f>SUM(BB6:BB12)+BB13+BB22+BB28+BB29+BB105+BB107+BB116+BB55</f>
        <v>116.81919448571428</v>
      </c>
      <c r="BF4" s="139"/>
      <c r="BG4" s="140"/>
      <c r="BH4" s="145"/>
      <c r="BI4" s="146">
        <f>SUM(BI6:BI12)+BI13+BI22+BI28+BI29+BI105+BI107</f>
        <v>121.66037405714286</v>
      </c>
      <c r="BJ4" s="147"/>
      <c r="BK4" s="141">
        <f>SUM(BK6:BK12)+BK13+BK22+BK28+BK29+BK105+BK107</f>
        <v>110.01387405714287</v>
      </c>
      <c r="BL4" s="76" t="s">
        <v>497</v>
      </c>
      <c r="BM4" s="76" t="s">
        <v>497</v>
      </c>
      <c r="BN4" s="76" t="s">
        <v>497</v>
      </c>
      <c r="BO4" s="76" t="s">
        <v>497</v>
      </c>
      <c r="BP4" s="76" t="s">
        <v>497</v>
      </c>
      <c r="BQ4" s="76" t="s">
        <v>498</v>
      </c>
      <c r="BS4" s="76" t="s">
        <v>497</v>
      </c>
      <c r="BT4" s="76" t="s">
        <v>498</v>
      </c>
      <c r="BV4" s="76"/>
      <c r="BW4" s="76"/>
    </row>
    <row r="5" spans="1:75" ht="13.5" thickBot="1" x14ac:dyDescent="0.25">
      <c r="A5" s="306" t="s">
        <v>499</v>
      </c>
      <c r="B5" s="307" t="s">
        <v>500</v>
      </c>
      <c r="C5" s="308"/>
      <c r="D5" s="308"/>
      <c r="E5" s="309"/>
      <c r="F5" s="307" t="s">
        <v>501</v>
      </c>
      <c r="G5" s="308"/>
      <c r="H5" s="308"/>
      <c r="I5" s="309"/>
      <c r="J5" s="307" t="s">
        <v>502</v>
      </c>
      <c r="K5" s="308"/>
      <c r="L5" s="308"/>
      <c r="M5" s="309"/>
      <c r="N5" s="307" t="s">
        <v>503</v>
      </c>
      <c r="O5" s="308"/>
      <c r="P5" s="308"/>
      <c r="Q5" s="309"/>
      <c r="R5" s="307" t="s">
        <v>504</v>
      </c>
      <c r="S5" s="308"/>
      <c r="T5" s="308"/>
      <c r="U5" s="309"/>
      <c r="V5" s="307" t="s">
        <v>505</v>
      </c>
      <c r="W5" s="308"/>
      <c r="X5" s="308"/>
      <c r="Y5" s="309"/>
      <c r="Z5" s="307" t="s">
        <v>506</v>
      </c>
      <c r="AA5" s="308"/>
      <c r="AB5" s="308"/>
      <c r="AC5" s="309"/>
      <c r="AD5" s="307" t="s">
        <v>507</v>
      </c>
      <c r="AE5" s="308"/>
      <c r="AF5" s="308" t="s">
        <v>508</v>
      </c>
      <c r="AG5" s="309" t="s">
        <v>509</v>
      </c>
      <c r="AH5" s="310" t="s">
        <v>510</v>
      </c>
      <c r="AI5" s="310" t="s">
        <v>511</v>
      </c>
      <c r="AJ5" s="311" t="s">
        <v>512</v>
      </c>
      <c r="AK5" s="311" t="s">
        <v>513</v>
      </c>
    </row>
    <row r="6" spans="1:75" ht="15" x14ac:dyDescent="0.2">
      <c r="A6" s="306" t="s">
        <v>491</v>
      </c>
      <c r="B6" s="312"/>
      <c r="C6" s="313"/>
      <c r="D6" s="314" t="s">
        <v>514</v>
      </c>
      <c r="E6" s="315"/>
      <c r="F6" s="316"/>
      <c r="G6" s="314" t="s">
        <v>515</v>
      </c>
      <c r="H6" s="317"/>
      <c r="I6" s="315"/>
      <c r="J6" s="306"/>
      <c r="K6" s="313"/>
      <c r="L6" s="313"/>
      <c r="M6" s="318"/>
      <c r="N6" s="306"/>
      <c r="O6" s="313"/>
      <c r="P6" s="313"/>
      <c r="Q6" s="318"/>
      <c r="R6" s="306"/>
      <c r="S6" s="313"/>
      <c r="T6" s="313"/>
      <c r="U6" s="318"/>
      <c r="V6" s="306"/>
      <c r="W6" s="313"/>
      <c r="X6" s="313"/>
      <c r="Y6" s="318"/>
      <c r="Z6" s="306"/>
      <c r="AA6" s="313"/>
      <c r="AB6" s="313"/>
      <c r="AC6" s="318"/>
      <c r="AD6" s="306"/>
      <c r="AE6" s="313"/>
      <c r="AF6" s="313"/>
      <c r="AG6" s="318"/>
      <c r="AH6" s="371">
        <f>+BM127</f>
        <v>-2.8203999999999998</v>
      </c>
      <c r="AI6" s="319"/>
      <c r="AJ6" s="320" t="s">
        <v>516</v>
      </c>
      <c r="AK6" s="320">
        <v>1</v>
      </c>
      <c r="AN6" s="37" t="s">
        <v>22</v>
      </c>
      <c r="AO6" s="38"/>
      <c r="AP6" s="38"/>
      <c r="AQ6" s="39" t="s">
        <v>23</v>
      </c>
      <c r="AR6" s="38"/>
      <c r="AS6" s="38" t="s">
        <v>24</v>
      </c>
      <c r="AT6" s="38">
        <v>2</v>
      </c>
      <c r="AU6" s="60">
        <v>3.4000000000000002E-2</v>
      </c>
      <c r="AV6" s="44">
        <f t="shared" ref="AV6:AV12" si="0">$AT6*AU6</f>
        <v>6.8000000000000005E-2</v>
      </c>
      <c r="AW6" s="60">
        <v>3.4000000000000002E-2</v>
      </c>
      <c r="AX6" s="40">
        <f t="shared" ref="AX6:AX12" si="1">$AT6*AW6</f>
        <v>6.8000000000000005E-2</v>
      </c>
      <c r="AY6" s="60">
        <v>3.4000000000000002E-2</v>
      </c>
      <c r="AZ6" s="40">
        <f t="shared" ref="AZ6:AZ12" si="2">$AT6*AY6</f>
        <v>6.8000000000000005E-2</v>
      </c>
      <c r="BA6" s="60">
        <v>3.4000000000000002E-2</v>
      </c>
      <c r="BB6" s="44">
        <f t="shared" ref="BB6:BB12" si="3">$AT6*BA6</f>
        <v>6.8000000000000005E-2</v>
      </c>
      <c r="BF6" s="148">
        <v>2</v>
      </c>
      <c r="BG6" s="149"/>
      <c r="BH6" s="150">
        <v>2.8000000000000001E-2</v>
      </c>
      <c r="BI6" s="151">
        <f t="shared" ref="BI6:BI12" si="4">+BH6*BF6</f>
        <v>5.6000000000000001E-2</v>
      </c>
      <c r="BJ6" s="150">
        <v>2.8000000000000001E-2</v>
      </c>
      <c r="BK6" s="151">
        <f t="shared" ref="BK6:BK12" si="5">+BJ6*BF6</f>
        <v>5.6000000000000001E-2</v>
      </c>
      <c r="BM6" s="59"/>
    </row>
    <row r="7" spans="1:75" ht="15" x14ac:dyDescent="0.2">
      <c r="A7" s="306" t="s">
        <v>517</v>
      </c>
      <c r="B7" s="312"/>
      <c r="C7" s="313"/>
      <c r="D7" s="313"/>
      <c r="E7" s="318"/>
      <c r="F7" s="316"/>
      <c r="G7" s="317"/>
      <c r="H7" s="317"/>
      <c r="I7" s="315"/>
      <c r="J7" s="306"/>
      <c r="K7" s="313"/>
      <c r="L7" s="313"/>
      <c r="M7" s="318"/>
      <c r="N7" s="306"/>
      <c r="O7" s="313"/>
      <c r="P7" s="313"/>
      <c r="Q7" s="318"/>
      <c r="R7" s="306"/>
      <c r="S7" s="313"/>
      <c r="T7" s="313"/>
      <c r="U7" s="318"/>
      <c r="V7" s="306"/>
      <c r="W7" s="313"/>
      <c r="X7" s="313"/>
      <c r="Y7" s="318"/>
      <c r="Z7" s="306"/>
      <c r="AA7" s="313"/>
      <c r="AB7" s="313"/>
      <c r="AC7" s="318"/>
      <c r="AD7" s="306"/>
      <c r="AE7" s="313"/>
      <c r="AF7" s="313"/>
      <c r="AG7" s="318"/>
      <c r="AH7" s="310"/>
      <c r="AI7" s="319"/>
      <c r="AJ7" s="310" t="s">
        <v>518</v>
      </c>
      <c r="AK7" s="310">
        <v>2</v>
      </c>
      <c r="AN7" s="41" t="s">
        <v>25</v>
      </c>
      <c r="AO7" s="42"/>
      <c r="AP7" s="42"/>
      <c r="AQ7" s="45" t="s">
        <v>26</v>
      </c>
      <c r="AR7" s="42"/>
      <c r="AS7" s="42" t="s">
        <v>27</v>
      </c>
      <c r="AT7" s="42">
        <v>1</v>
      </c>
      <c r="AU7" s="61">
        <v>7.1999999999999995E-2</v>
      </c>
      <c r="AV7" s="66">
        <f t="shared" si="0"/>
        <v>7.1999999999999995E-2</v>
      </c>
      <c r="AW7" s="61">
        <v>7.1999999999999995E-2</v>
      </c>
      <c r="AX7" s="43">
        <f t="shared" si="1"/>
        <v>7.1999999999999995E-2</v>
      </c>
      <c r="AY7" s="61">
        <v>7.1999999999999995E-2</v>
      </c>
      <c r="AZ7" s="43">
        <f t="shared" si="2"/>
        <v>7.1999999999999995E-2</v>
      </c>
      <c r="BA7" s="61">
        <v>7.1999999999999995E-2</v>
      </c>
      <c r="BB7" s="46">
        <f t="shared" si="3"/>
        <v>7.1999999999999995E-2</v>
      </c>
      <c r="BF7" s="131">
        <v>1</v>
      </c>
      <c r="BG7" s="96" t="s">
        <v>24</v>
      </c>
      <c r="BH7" s="97">
        <v>7.17E-2</v>
      </c>
      <c r="BI7" s="98">
        <f t="shared" si="4"/>
        <v>7.17E-2</v>
      </c>
      <c r="BJ7" s="97">
        <v>7.17E-2</v>
      </c>
      <c r="BK7" s="98">
        <f t="shared" si="5"/>
        <v>7.17E-2</v>
      </c>
      <c r="BM7" s="59"/>
    </row>
    <row r="8" spans="1:75" ht="15" x14ac:dyDescent="0.2">
      <c r="A8" s="306" t="s">
        <v>519</v>
      </c>
      <c r="B8" s="312"/>
      <c r="C8" s="313"/>
      <c r="D8" s="313"/>
      <c r="E8" s="318"/>
      <c r="F8" s="316"/>
      <c r="G8" s="317"/>
      <c r="H8" s="317"/>
      <c r="I8" s="315"/>
      <c r="J8" s="306"/>
      <c r="K8" s="313"/>
      <c r="L8" s="313"/>
      <c r="M8" s="318"/>
      <c r="N8" s="306"/>
      <c r="O8" s="313"/>
      <c r="P8" s="313"/>
      <c r="Q8" s="318"/>
      <c r="R8" s="306"/>
      <c r="S8" s="313"/>
      <c r="T8" s="313"/>
      <c r="U8" s="318"/>
      <c r="V8" s="306"/>
      <c r="W8" s="313"/>
      <c r="X8" s="313"/>
      <c r="Y8" s="318"/>
      <c r="Z8" s="306"/>
      <c r="AA8" s="313"/>
      <c r="AB8" s="313"/>
      <c r="AC8" s="318"/>
      <c r="AD8" s="306"/>
      <c r="AE8" s="313"/>
      <c r="AF8" s="313"/>
      <c r="AG8" s="318"/>
      <c r="AH8" s="310"/>
      <c r="AI8" s="319"/>
      <c r="AJ8" s="310" t="s">
        <v>520</v>
      </c>
      <c r="AK8" s="321">
        <v>1</v>
      </c>
      <c r="AN8" s="41" t="s">
        <v>28</v>
      </c>
      <c r="AO8" s="42"/>
      <c r="AP8" s="42"/>
      <c r="AQ8" s="45" t="s">
        <v>29</v>
      </c>
      <c r="AR8" s="42"/>
      <c r="AS8" s="42" t="s">
        <v>30</v>
      </c>
      <c r="AT8" s="42">
        <v>1</v>
      </c>
      <c r="AU8" s="61">
        <v>2.7E-2</v>
      </c>
      <c r="AV8" s="46">
        <f t="shared" si="0"/>
        <v>2.7E-2</v>
      </c>
      <c r="AW8" s="61">
        <v>2.7E-2</v>
      </c>
      <c r="AX8" s="43">
        <f t="shared" si="1"/>
        <v>2.7E-2</v>
      </c>
      <c r="AY8" s="61">
        <v>2.7E-2</v>
      </c>
      <c r="AZ8" s="43">
        <f t="shared" si="2"/>
        <v>2.7E-2</v>
      </c>
      <c r="BA8" s="61">
        <v>2.7E-2</v>
      </c>
      <c r="BB8" s="46">
        <f t="shared" si="3"/>
        <v>2.7E-2</v>
      </c>
      <c r="BF8" s="131">
        <v>1</v>
      </c>
      <c r="BG8" s="96"/>
      <c r="BH8" s="97">
        <v>2.64E-2</v>
      </c>
      <c r="BI8" s="98">
        <f t="shared" si="4"/>
        <v>2.64E-2</v>
      </c>
      <c r="BJ8" s="97">
        <v>2.64E-2</v>
      </c>
      <c r="BK8" s="98">
        <f t="shared" si="5"/>
        <v>2.64E-2</v>
      </c>
      <c r="BM8" s="59"/>
    </row>
    <row r="9" spans="1:75" ht="15" x14ac:dyDescent="0.2">
      <c r="A9" s="306" t="s">
        <v>521</v>
      </c>
      <c r="B9" s="312"/>
      <c r="C9" s="313"/>
      <c r="D9" s="313"/>
      <c r="E9" s="318"/>
      <c r="F9" s="306"/>
      <c r="G9" s="313"/>
      <c r="H9" s="313"/>
      <c r="I9" s="318"/>
      <c r="J9" s="316"/>
      <c r="K9" s="317"/>
      <c r="L9" s="317"/>
      <c r="M9" s="315"/>
      <c r="N9" s="316"/>
      <c r="O9" s="317"/>
      <c r="P9" s="317"/>
      <c r="Q9" s="315"/>
      <c r="R9" s="306"/>
      <c r="S9" s="313"/>
      <c r="T9" s="313"/>
      <c r="U9" s="318"/>
      <c r="V9" s="306"/>
      <c r="W9" s="313"/>
      <c r="X9" s="313"/>
      <c r="Y9" s="318"/>
      <c r="Z9" s="306"/>
      <c r="AA9" s="313"/>
      <c r="AB9" s="313"/>
      <c r="AC9" s="318"/>
      <c r="AD9" s="306"/>
      <c r="AE9" s="313"/>
      <c r="AF9" s="313"/>
      <c r="AG9" s="318"/>
      <c r="AH9" s="310"/>
      <c r="AI9" s="319"/>
      <c r="AJ9" s="310" t="s">
        <v>522</v>
      </c>
      <c r="AK9" s="322" t="s">
        <v>523</v>
      </c>
      <c r="AN9" s="41" t="s">
        <v>31</v>
      </c>
      <c r="AO9" s="42"/>
      <c r="AP9" s="42"/>
      <c r="AQ9" s="45" t="s">
        <v>32</v>
      </c>
      <c r="AR9" s="42"/>
      <c r="AS9" s="42" t="s">
        <v>33</v>
      </c>
      <c r="AT9" s="42">
        <v>1</v>
      </c>
      <c r="AU9" s="61">
        <v>0.25</v>
      </c>
      <c r="AV9" s="46">
        <f t="shared" si="0"/>
        <v>0.25</v>
      </c>
      <c r="AW9" s="61">
        <v>0.25</v>
      </c>
      <c r="AX9" s="43">
        <f t="shared" si="1"/>
        <v>0.25</v>
      </c>
      <c r="AY9" s="61">
        <v>0.26</v>
      </c>
      <c r="AZ9" s="43">
        <f t="shared" si="2"/>
        <v>0.26</v>
      </c>
      <c r="BA9" s="61">
        <v>0.26</v>
      </c>
      <c r="BB9" s="46">
        <f t="shared" si="3"/>
        <v>0.26</v>
      </c>
      <c r="BF9" s="131">
        <v>1</v>
      </c>
      <c r="BG9" s="96" t="s">
        <v>34</v>
      </c>
      <c r="BH9" s="97">
        <v>0.254</v>
      </c>
      <c r="BI9" s="98">
        <f t="shared" si="4"/>
        <v>0.254</v>
      </c>
      <c r="BJ9" s="97">
        <v>0.254</v>
      </c>
      <c r="BK9" s="98">
        <f t="shared" si="5"/>
        <v>0.254</v>
      </c>
      <c r="BM9" s="59"/>
    </row>
    <row r="10" spans="1:75" ht="15.75" x14ac:dyDescent="0.25">
      <c r="A10" s="306" t="s">
        <v>524</v>
      </c>
      <c r="B10" s="312"/>
      <c r="C10" s="313"/>
      <c r="D10" s="313"/>
      <c r="E10" s="318"/>
      <c r="F10" s="306"/>
      <c r="G10" s="313"/>
      <c r="H10" s="313"/>
      <c r="I10" s="318"/>
      <c r="J10" s="316"/>
      <c r="K10" s="317"/>
      <c r="L10" s="317"/>
      <c r="M10" s="315"/>
      <c r="N10" s="306"/>
      <c r="O10" s="313"/>
      <c r="P10" s="313"/>
      <c r="Q10" s="318"/>
      <c r="R10" s="306"/>
      <c r="S10" s="313"/>
      <c r="T10" s="313"/>
      <c r="U10" s="318"/>
      <c r="V10" s="306"/>
      <c r="W10" s="313"/>
      <c r="X10" s="313"/>
      <c r="Y10" s="318"/>
      <c r="Z10" s="306"/>
      <c r="AA10" s="313"/>
      <c r="AB10" s="313"/>
      <c r="AC10" s="318"/>
      <c r="AD10" s="306"/>
      <c r="AE10" s="313"/>
      <c r="AF10" s="338"/>
      <c r="AG10" s="318"/>
      <c r="AH10" s="310"/>
      <c r="AI10" s="319"/>
      <c r="AJ10" s="310" t="s">
        <v>525</v>
      </c>
      <c r="AK10" s="310">
        <v>1</v>
      </c>
      <c r="AN10" s="41" t="s">
        <v>35</v>
      </c>
      <c r="AO10" s="42"/>
      <c r="AP10" s="42"/>
      <c r="AQ10" s="45" t="s">
        <v>36</v>
      </c>
      <c r="AR10" s="42"/>
      <c r="AS10" s="42" t="s">
        <v>37</v>
      </c>
      <c r="AT10" s="42">
        <v>1</v>
      </c>
      <c r="AU10" s="61">
        <v>0.56999999999999995</v>
      </c>
      <c r="AV10" s="46">
        <f t="shared" si="0"/>
        <v>0.56999999999999995</v>
      </c>
      <c r="AW10" s="61">
        <v>0.56999999999999995</v>
      </c>
      <c r="AX10" s="43">
        <f t="shared" si="1"/>
        <v>0.56999999999999995</v>
      </c>
      <c r="AY10" s="61">
        <v>0.56999999999999995</v>
      </c>
      <c r="AZ10" s="43">
        <f t="shared" si="2"/>
        <v>0.56999999999999995</v>
      </c>
      <c r="BA10" s="179">
        <v>0.37</v>
      </c>
      <c r="BB10" s="46">
        <f t="shared" si="3"/>
        <v>0.37</v>
      </c>
      <c r="BF10" s="131">
        <v>1</v>
      </c>
      <c r="BG10" s="96" t="s">
        <v>38</v>
      </c>
      <c r="BH10" s="99">
        <v>0.59</v>
      </c>
      <c r="BI10" s="98">
        <f t="shared" si="4"/>
        <v>0.59</v>
      </c>
      <c r="BJ10" s="100">
        <v>0.56999999999999995</v>
      </c>
      <c r="BK10" s="98">
        <f t="shared" si="5"/>
        <v>0.56999999999999995</v>
      </c>
      <c r="BM10" s="59"/>
      <c r="BO10" s="59">
        <f>+AV10-BB10</f>
        <v>0.19999999999999996</v>
      </c>
    </row>
    <row r="11" spans="1:75" ht="15.75" x14ac:dyDescent="0.25">
      <c r="A11" s="306" t="s">
        <v>526</v>
      </c>
      <c r="B11" s="323"/>
      <c r="C11" s="317"/>
      <c r="D11" s="317"/>
      <c r="E11" s="315"/>
      <c r="F11" s="316"/>
      <c r="G11" s="317"/>
      <c r="H11" s="317"/>
      <c r="I11" s="315"/>
      <c r="J11" s="316"/>
      <c r="K11" s="317"/>
      <c r="L11" s="317"/>
      <c r="M11" s="315"/>
      <c r="N11" s="316"/>
      <c r="O11" s="317"/>
      <c r="P11" s="317"/>
      <c r="Q11" s="315"/>
      <c r="R11" s="316"/>
      <c r="S11" s="317"/>
      <c r="T11" s="317"/>
      <c r="U11" s="315"/>
      <c r="V11" s="316"/>
      <c r="W11" s="317"/>
      <c r="X11" s="317"/>
      <c r="Y11" s="315"/>
      <c r="Z11" s="316"/>
      <c r="AA11" s="317"/>
      <c r="AB11" s="317"/>
      <c r="AC11" s="315"/>
      <c r="AD11" s="316"/>
      <c r="AE11" s="317"/>
      <c r="AF11" s="339"/>
      <c r="AG11" s="340"/>
      <c r="AH11" s="371">
        <f>+BM129</f>
        <v>-1.3699999999999994</v>
      </c>
      <c r="AI11" s="319"/>
      <c r="AJ11" s="310" t="s">
        <v>525</v>
      </c>
      <c r="AK11" s="310">
        <v>1</v>
      </c>
      <c r="AN11" s="41" t="s">
        <v>39</v>
      </c>
      <c r="AO11" s="42"/>
      <c r="AP11" s="42"/>
      <c r="AQ11" s="45" t="s">
        <v>40</v>
      </c>
      <c r="AR11" s="42"/>
      <c r="AS11" s="42" t="s">
        <v>41</v>
      </c>
      <c r="AT11" s="42">
        <v>1</v>
      </c>
      <c r="AU11" s="61">
        <v>6.6000000000000003E-2</v>
      </c>
      <c r="AV11" s="46">
        <f t="shared" si="0"/>
        <v>6.6000000000000003E-2</v>
      </c>
      <c r="AW11" s="61">
        <v>6.6000000000000003E-2</v>
      </c>
      <c r="AX11" s="43">
        <f t="shared" si="1"/>
        <v>6.6000000000000003E-2</v>
      </c>
      <c r="AY11" s="61">
        <v>6.6000000000000003E-2</v>
      </c>
      <c r="AZ11" s="43">
        <f t="shared" si="2"/>
        <v>6.6000000000000003E-2</v>
      </c>
      <c r="BA11" s="164">
        <v>6.4299999999999996E-2</v>
      </c>
      <c r="BB11" s="46">
        <f t="shared" si="3"/>
        <v>6.4299999999999996E-2</v>
      </c>
      <c r="BF11" s="131">
        <v>1</v>
      </c>
      <c r="BG11" s="96" t="s">
        <v>41</v>
      </c>
      <c r="BH11" s="97">
        <v>6.4299999999999996E-2</v>
      </c>
      <c r="BI11" s="98">
        <f t="shared" si="4"/>
        <v>6.4299999999999996E-2</v>
      </c>
      <c r="BJ11" s="97">
        <v>6.4299999999999996E-2</v>
      </c>
      <c r="BK11" s="98">
        <f t="shared" si="5"/>
        <v>6.4299999999999996E-2</v>
      </c>
      <c r="BL11" s="59">
        <f>+AV11-BB11</f>
        <v>1.7000000000000071E-3</v>
      </c>
      <c r="BM11" s="59"/>
    </row>
    <row r="12" spans="1:75" ht="15.75" x14ac:dyDescent="0.25">
      <c r="A12" s="324" t="s">
        <v>495</v>
      </c>
      <c r="B12" s="325"/>
      <c r="C12" s="326"/>
      <c r="D12" s="326"/>
      <c r="E12" s="327"/>
      <c r="F12" s="328"/>
      <c r="G12" s="329"/>
      <c r="H12" s="329"/>
      <c r="I12" s="330"/>
      <c r="J12" s="324"/>
      <c r="K12" s="326"/>
      <c r="L12" s="326"/>
      <c r="M12" s="327"/>
      <c r="N12" s="324"/>
      <c r="O12" s="326"/>
      <c r="P12" s="326"/>
      <c r="Q12" s="327"/>
      <c r="R12" s="324"/>
      <c r="S12" s="326"/>
      <c r="T12" s="326"/>
      <c r="U12" s="327"/>
      <c r="V12" s="324"/>
      <c r="W12" s="326"/>
      <c r="X12" s="326"/>
      <c r="Y12" s="327"/>
      <c r="Z12" s="324"/>
      <c r="AA12" s="326"/>
      <c r="AB12" s="326"/>
      <c r="AC12" s="327"/>
      <c r="AD12" s="324"/>
      <c r="AE12" s="326"/>
      <c r="AF12" s="326"/>
      <c r="AG12" s="327"/>
      <c r="AH12" s="372">
        <f>+BM134</f>
        <v>-1.5882000000000001</v>
      </c>
      <c r="AI12" s="319"/>
      <c r="AJ12" s="310" t="s">
        <v>527</v>
      </c>
      <c r="AK12" s="310">
        <v>1</v>
      </c>
      <c r="AN12" s="41" t="s">
        <v>42</v>
      </c>
      <c r="AO12" s="42"/>
      <c r="AP12" s="42"/>
      <c r="AQ12" s="45" t="s">
        <v>43</v>
      </c>
      <c r="AR12" s="42"/>
      <c r="AS12" s="42" t="s">
        <v>44</v>
      </c>
      <c r="AT12" s="42">
        <v>1</v>
      </c>
      <c r="AU12" s="61">
        <v>0.88</v>
      </c>
      <c r="AV12" s="46">
        <f t="shared" si="0"/>
        <v>0.88</v>
      </c>
      <c r="AW12" s="61">
        <v>0.88</v>
      </c>
      <c r="AX12" s="43">
        <f t="shared" si="1"/>
        <v>0.88</v>
      </c>
      <c r="AY12" s="61">
        <v>0.88</v>
      </c>
      <c r="AZ12" s="43">
        <f t="shared" si="2"/>
        <v>0.88</v>
      </c>
      <c r="BA12" s="164">
        <v>0.51</v>
      </c>
      <c r="BB12" s="46">
        <f t="shared" si="3"/>
        <v>0.51</v>
      </c>
      <c r="BF12" s="131">
        <v>1</v>
      </c>
      <c r="BG12" s="96" t="s">
        <v>44</v>
      </c>
      <c r="BH12" s="99">
        <v>0.88</v>
      </c>
      <c r="BI12" s="98">
        <f t="shared" si="4"/>
        <v>0.88</v>
      </c>
      <c r="BJ12" s="100">
        <v>0.51</v>
      </c>
      <c r="BK12" s="98">
        <f t="shared" si="5"/>
        <v>0.51</v>
      </c>
      <c r="BL12" s="59">
        <f>+AV12-BB12</f>
        <v>0.37</v>
      </c>
      <c r="BM12" s="59"/>
    </row>
    <row r="13" spans="1:75" ht="15.75" x14ac:dyDescent="0.25">
      <c r="A13" s="324" t="s">
        <v>494</v>
      </c>
      <c r="B13" s="325"/>
      <c r="C13" s="326"/>
      <c r="D13" s="329"/>
      <c r="E13" s="330"/>
      <c r="F13" s="328"/>
      <c r="G13" s="329"/>
      <c r="H13" s="329"/>
      <c r="I13" s="330"/>
      <c r="J13" s="328"/>
      <c r="K13" s="329"/>
      <c r="L13" s="329"/>
      <c r="M13" s="330"/>
      <c r="N13" s="328"/>
      <c r="O13" s="329"/>
      <c r="P13" s="329"/>
      <c r="Q13" s="330"/>
      <c r="R13" s="328"/>
      <c r="S13" s="329"/>
      <c r="T13" s="329"/>
      <c r="U13" s="330"/>
      <c r="V13" s="324"/>
      <c r="W13" s="326"/>
      <c r="X13" s="326"/>
      <c r="Y13" s="327"/>
      <c r="Z13" s="324"/>
      <c r="AA13" s="326"/>
      <c r="AB13" s="326"/>
      <c r="AC13" s="327"/>
      <c r="AD13" s="324"/>
      <c r="AE13" s="326"/>
      <c r="AF13" s="326"/>
      <c r="AG13" s="327"/>
      <c r="AH13" s="372">
        <f>+BM131</f>
        <v>-0.52929999999999988</v>
      </c>
      <c r="AI13" s="319"/>
      <c r="AJ13" s="310" t="s">
        <v>527</v>
      </c>
      <c r="AK13" s="310">
        <v>2</v>
      </c>
      <c r="AN13" s="41" t="s">
        <v>45</v>
      </c>
      <c r="AO13" s="42"/>
      <c r="AP13" s="42"/>
      <c r="AQ13" s="42" t="s">
        <v>46</v>
      </c>
      <c r="AR13" s="42"/>
      <c r="AS13" s="42"/>
      <c r="AT13" s="42">
        <v>1</v>
      </c>
      <c r="AU13" s="61"/>
      <c r="AV13" s="46">
        <f>SUM(AV14:AV21)</f>
        <v>3.7730000000000001</v>
      </c>
      <c r="AW13" s="61"/>
      <c r="AX13" s="43">
        <f>SUM(AX14:AX21)</f>
        <v>3.5453000000000001</v>
      </c>
      <c r="AY13" s="61"/>
      <c r="AZ13" s="43">
        <f>SUM(AZ14:AZ21)</f>
        <v>3.5453000000000001</v>
      </c>
      <c r="BA13" s="61"/>
      <c r="BB13" s="46">
        <f>SUM(BB14:BB21)</f>
        <v>3.4904000000000002</v>
      </c>
      <c r="BF13" s="131">
        <v>1</v>
      </c>
      <c r="BG13" s="96"/>
      <c r="BH13" s="97">
        <f>SUM(BH14:BH21)</f>
        <v>3.8972000000000002</v>
      </c>
      <c r="BI13" s="101">
        <f>SUM(BI14:BI21)</f>
        <v>3.8972000000000002</v>
      </c>
      <c r="BJ13" s="97"/>
      <c r="BK13" s="102">
        <f>SUM(BK14:BK21)</f>
        <v>3.4999000000000002</v>
      </c>
      <c r="BL13" s="59"/>
      <c r="BM13" s="59"/>
    </row>
    <row r="14" spans="1:75" ht="15" x14ac:dyDescent="0.25">
      <c r="A14" s="306" t="s">
        <v>528</v>
      </c>
      <c r="B14" s="312"/>
      <c r="C14" s="313"/>
      <c r="D14" s="317"/>
      <c r="E14" s="315"/>
      <c r="F14" s="316"/>
      <c r="G14" s="317"/>
      <c r="H14" s="317"/>
      <c r="I14" s="315"/>
      <c r="J14" s="316"/>
      <c r="K14" s="317"/>
      <c r="L14" s="317"/>
      <c r="M14" s="315"/>
      <c r="N14" s="316"/>
      <c r="O14" s="317"/>
      <c r="P14" s="317"/>
      <c r="Q14" s="315"/>
      <c r="R14" s="306"/>
      <c r="S14" s="313"/>
      <c r="T14" s="313"/>
      <c r="U14" s="318"/>
      <c r="V14" s="306"/>
      <c r="W14" s="313"/>
      <c r="X14" s="313"/>
      <c r="Y14" s="318"/>
      <c r="Z14" s="306"/>
      <c r="AA14" s="313"/>
      <c r="AB14" s="313"/>
      <c r="AC14" s="318"/>
      <c r="AD14" s="306"/>
      <c r="AE14" s="313"/>
      <c r="AF14" s="313"/>
      <c r="AG14" s="318"/>
      <c r="AH14" s="371">
        <f>+BM130</f>
        <v>-0.35599999999999993</v>
      </c>
      <c r="AI14" s="319"/>
      <c r="AJ14" s="310" t="s">
        <v>525</v>
      </c>
      <c r="AK14" s="310">
        <v>1</v>
      </c>
      <c r="AN14" s="25"/>
      <c r="AO14" s="26" t="s">
        <v>47</v>
      </c>
      <c r="AP14" s="26"/>
      <c r="AQ14" s="26" t="s">
        <v>48</v>
      </c>
      <c r="AR14" s="26"/>
      <c r="AS14" s="26" t="s">
        <v>49</v>
      </c>
      <c r="AT14" s="26">
        <v>1</v>
      </c>
      <c r="AU14" s="62">
        <v>1.97</v>
      </c>
      <c r="AV14" s="27">
        <f t="shared" ref="AV14:AV21" si="6">$AT14*AU14</f>
        <v>1.97</v>
      </c>
      <c r="AW14" s="62">
        <v>1.7423</v>
      </c>
      <c r="AX14" s="28">
        <f t="shared" ref="AX14:AX21" si="7">$AT14*AW14</f>
        <v>1.7423</v>
      </c>
      <c r="AY14" s="62">
        <v>1.7423</v>
      </c>
      <c r="AZ14" s="28">
        <f t="shared" ref="AZ14:AZ21" si="8">$AT14*AY14</f>
        <v>1.7423</v>
      </c>
      <c r="BA14" s="62">
        <v>1.7423</v>
      </c>
      <c r="BB14" s="27">
        <f t="shared" ref="BB14:BB21" si="9">$AT14*BA14</f>
        <v>1.7423</v>
      </c>
      <c r="BF14" s="132">
        <v>1</v>
      </c>
      <c r="BG14" s="103" t="s">
        <v>50</v>
      </c>
      <c r="BH14" s="104">
        <v>1.8254999999999999</v>
      </c>
      <c r="BI14" s="105">
        <f t="shared" ref="BI14:BI21" si="10">+BH14*BF14</f>
        <v>1.8254999999999999</v>
      </c>
      <c r="BJ14" s="106">
        <v>1.6464000000000001</v>
      </c>
      <c r="BK14" s="105">
        <f t="shared" ref="BK14:BK21" si="11">+BJ14*BF14</f>
        <v>1.6464000000000001</v>
      </c>
      <c r="BL14" s="59"/>
      <c r="BM14" s="185">
        <f>+AV14-BB14</f>
        <v>0.22770000000000001</v>
      </c>
      <c r="BP14">
        <v>0.22800000000000001</v>
      </c>
      <c r="BQ14" s="59">
        <f>+BB14-BJ14</f>
        <v>9.5899999999999874E-2</v>
      </c>
    </row>
    <row r="15" spans="1:75" ht="15" x14ac:dyDescent="0.25">
      <c r="A15" s="332" t="s">
        <v>529</v>
      </c>
      <c r="B15" s="312"/>
      <c r="C15" s="313"/>
      <c r="D15" s="317"/>
      <c r="E15" s="315"/>
      <c r="F15" s="316"/>
      <c r="G15" s="317"/>
      <c r="H15" s="317"/>
      <c r="I15" s="315"/>
      <c r="J15" s="316"/>
      <c r="K15" s="317"/>
      <c r="L15" s="313"/>
      <c r="M15" s="318"/>
      <c r="N15" s="306"/>
      <c r="O15" s="313"/>
      <c r="P15" s="313"/>
      <c r="Q15" s="318"/>
      <c r="R15" s="306"/>
      <c r="S15" s="313"/>
      <c r="T15" s="313"/>
      <c r="U15" s="318"/>
      <c r="V15" s="306"/>
      <c r="W15" s="313"/>
      <c r="X15" s="313"/>
      <c r="Y15" s="318"/>
      <c r="Z15" s="306"/>
      <c r="AA15" s="313"/>
      <c r="AB15" s="313"/>
      <c r="AC15" s="318"/>
      <c r="AD15" s="306"/>
      <c r="AE15" s="313"/>
      <c r="AF15" s="313"/>
      <c r="AG15" s="318"/>
      <c r="AH15" s="331" t="s">
        <v>530</v>
      </c>
      <c r="AI15" s="319"/>
      <c r="AJ15" s="310"/>
      <c r="AK15" s="310"/>
      <c r="AN15" s="25"/>
      <c r="AO15" s="26" t="s">
        <v>51</v>
      </c>
      <c r="AP15" s="26"/>
      <c r="AQ15" s="26" t="s">
        <v>52</v>
      </c>
      <c r="AR15" s="26"/>
      <c r="AS15" s="26"/>
      <c r="AT15" s="26">
        <v>1</v>
      </c>
      <c r="AU15" s="62">
        <v>1.28</v>
      </c>
      <c r="AV15" s="27">
        <f t="shared" si="6"/>
        <v>1.28</v>
      </c>
      <c r="AW15" s="62">
        <v>1.28</v>
      </c>
      <c r="AX15" s="28">
        <f t="shared" si="7"/>
        <v>1.28</v>
      </c>
      <c r="AY15" s="62">
        <v>1.28</v>
      </c>
      <c r="AZ15" s="28">
        <f t="shared" si="8"/>
        <v>1.28</v>
      </c>
      <c r="BA15" s="62">
        <v>1.28</v>
      </c>
      <c r="BB15" s="27">
        <f t="shared" si="9"/>
        <v>1.28</v>
      </c>
      <c r="BF15" s="132">
        <v>1</v>
      </c>
      <c r="BG15" s="103" t="s">
        <v>53</v>
      </c>
      <c r="BH15" s="104">
        <v>1.6759999999999999</v>
      </c>
      <c r="BI15" s="105">
        <f t="shared" si="10"/>
        <v>1.6759999999999999</v>
      </c>
      <c r="BJ15" s="106">
        <v>1.4578</v>
      </c>
      <c r="BK15" s="105">
        <f t="shared" si="11"/>
        <v>1.4578</v>
      </c>
      <c r="BL15" s="59"/>
      <c r="BM15" s="59"/>
    </row>
    <row r="16" spans="1:75" ht="15" x14ac:dyDescent="0.25">
      <c r="A16" s="306" t="s">
        <v>531</v>
      </c>
      <c r="B16" s="312"/>
      <c r="C16" s="313"/>
      <c r="D16" s="317"/>
      <c r="E16" s="315" t="s">
        <v>532</v>
      </c>
      <c r="F16" s="316"/>
      <c r="G16" s="317"/>
      <c r="H16" s="317"/>
      <c r="I16" s="315"/>
      <c r="J16" s="306"/>
      <c r="K16" s="313"/>
      <c r="L16" s="313"/>
      <c r="M16" s="318"/>
      <c r="N16" s="306"/>
      <c r="O16" s="313"/>
      <c r="P16" s="313"/>
      <c r="Q16" s="318"/>
      <c r="R16" s="306"/>
      <c r="S16" s="313"/>
      <c r="T16" s="313"/>
      <c r="U16" s="318"/>
      <c r="V16" s="306"/>
      <c r="W16" s="313"/>
      <c r="X16" s="313"/>
      <c r="Y16" s="318"/>
      <c r="Z16" s="306"/>
      <c r="AA16" s="313"/>
      <c r="AB16" s="313"/>
      <c r="AC16" s="318"/>
      <c r="AD16" s="306"/>
      <c r="AE16" s="313"/>
      <c r="AF16" s="313"/>
      <c r="AG16" s="318"/>
      <c r="AH16" s="310" t="s">
        <v>530</v>
      </c>
      <c r="AI16" s="319"/>
      <c r="AJ16" s="310" t="s">
        <v>533</v>
      </c>
      <c r="AK16" s="310">
        <v>1</v>
      </c>
      <c r="AN16" s="25"/>
      <c r="AO16" s="26" t="s">
        <v>54</v>
      </c>
      <c r="AP16" s="26"/>
      <c r="AQ16" s="26" t="s">
        <v>55</v>
      </c>
      <c r="AR16" s="26"/>
      <c r="AS16" s="26"/>
      <c r="AT16" s="26">
        <v>1</v>
      </c>
      <c r="AU16" s="62">
        <v>0.02</v>
      </c>
      <c r="AV16" s="27">
        <f t="shared" si="6"/>
        <v>0.02</v>
      </c>
      <c r="AW16" s="62">
        <v>0.02</v>
      </c>
      <c r="AX16" s="28">
        <f t="shared" si="7"/>
        <v>0.02</v>
      </c>
      <c r="AY16" s="62">
        <v>0.02</v>
      </c>
      <c r="AZ16" s="28">
        <f t="shared" si="8"/>
        <v>0.02</v>
      </c>
      <c r="BA16" s="62">
        <v>0.02</v>
      </c>
      <c r="BB16" s="27">
        <f t="shared" si="9"/>
        <v>0.02</v>
      </c>
      <c r="BF16" s="132">
        <v>1</v>
      </c>
      <c r="BG16" s="103" t="s">
        <v>50</v>
      </c>
      <c r="BH16" s="107">
        <v>1.5800000000000002E-2</v>
      </c>
      <c r="BI16" s="105">
        <f t="shared" si="10"/>
        <v>1.5800000000000002E-2</v>
      </c>
      <c r="BJ16" s="107">
        <v>1.5800000000000002E-2</v>
      </c>
      <c r="BK16" s="105">
        <f t="shared" si="11"/>
        <v>1.5800000000000002E-2</v>
      </c>
      <c r="BL16" s="59"/>
      <c r="BM16" s="59"/>
    </row>
    <row r="17" spans="1:74" ht="15" x14ac:dyDescent="0.25">
      <c r="A17" s="306" t="s">
        <v>534</v>
      </c>
      <c r="B17" s="312"/>
      <c r="C17" s="313"/>
      <c r="D17" s="317"/>
      <c r="E17" s="315"/>
      <c r="F17" s="316"/>
      <c r="G17" s="317"/>
      <c r="H17" s="317"/>
      <c r="I17" s="315"/>
      <c r="J17" s="316"/>
      <c r="K17" s="317"/>
      <c r="L17" s="313"/>
      <c r="M17" s="318"/>
      <c r="N17" s="306"/>
      <c r="O17" s="313"/>
      <c r="P17" s="313"/>
      <c r="Q17" s="318"/>
      <c r="R17" s="306"/>
      <c r="S17" s="313"/>
      <c r="T17" s="313"/>
      <c r="U17" s="318"/>
      <c r="V17" s="306"/>
      <c r="W17" s="313"/>
      <c r="X17" s="313"/>
      <c r="Y17" s="318"/>
      <c r="Z17" s="306"/>
      <c r="AA17" s="313"/>
      <c r="AB17" s="313"/>
      <c r="AC17" s="318"/>
      <c r="AD17" s="306"/>
      <c r="AE17" s="313"/>
      <c r="AF17" s="313"/>
      <c r="AG17" s="318"/>
      <c r="AH17" s="319"/>
      <c r="AI17" s="319"/>
      <c r="AJ17" s="310" t="s">
        <v>535</v>
      </c>
      <c r="AK17" s="310">
        <v>1</v>
      </c>
      <c r="AN17" s="25"/>
      <c r="AO17" s="26" t="s">
        <v>56</v>
      </c>
      <c r="AP17" s="26"/>
      <c r="AQ17" s="26" t="s">
        <v>57</v>
      </c>
      <c r="AR17" s="26"/>
      <c r="AS17" s="26"/>
      <c r="AT17" s="26">
        <v>1</v>
      </c>
      <c r="AU17" s="62">
        <v>0.17599999999999999</v>
      </c>
      <c r="AV17" s="27">
        <f t="shared" si="6"/>
        <v>0.17599999999999999</v>
      </c>
      <c r="AW17" s="62">
        <v>0.17599999999999999</v>
      </c>
      <c r="AX17" s="28">
        <f t="shared" si="7"/>
        <v>0.17599999999999999</v>
      </c>
      <c r="AY17" s="62">
        <v>0.17599999999999999</v>
      </c>
      <c r="AZ17" s="28">
        <f t="shared" si="8"/>
        <v>0.17599999999999999</v>
      </c>
      <c r="BA17" s="165">
        <v>0.17649999999999999</v>
      </c>
      <c r="BB17" s="27">
        <f t="shared" si="9"/>
        <v>0.17649999999999999</v>
      </c>
      <c r="BF17" s="132">
        <v>1</v>
      </c>
      <c r="BG17" s="103" t="s">
        <v>58</v>
      </c>
      <c r="BH17" s="107">
        <v>0.17649999999999999</v>
      </c>
      <c r="BI17" s="105">
        <f t="shared" si="10"/>
        <v>0.17649999999999999</v>
      </c>
      <c r="BJ17" s="107">
        <v>0.17649999999999999</v>
      </c>
      <c r="BK17" s="105">
        <f t="shared" si="11"/>
        <v>0.17649999999999999</v>
      </c>
      <c r="BL17" s="59"/>
      <c r="BM17" s="59"/>
    </row>
    <row r="18" spans="1:74" ht="15" x14ac:dyDescent="0.25">
      <c r="A18" s="306"/>
      <c r="B18" s="312"/>
      <c r="C18" s="313"/>
      <c r="D18" s="313"/>
      <c r="E18" s="318"/>
      <c r="F18" s="306"/>
      <c r="G18" s="313"/>
      <c r="H18" s="313"/>
      <c r="I18" s="318"/>
      <c r="J18" s="306"/>
      <c r="K18" s="313"/>
      <c r="L18" s="313"/>
      <c r="M18" s="318"/>
      <c r="N18" s="306"/>
      <c r="O18" s="313"/>
      <c r="P18" s="313"/>
      <c r="Q18" s="318"/>
      <c r="R18" s="306"/>
      <c r="S18" s="313"/>
      <c r="T18" s="313"/>
      <c r="U18" s="318"/>
      <c r="V18" s="306"/>
      <c r="W18" s="313"/>
      <c r="X18" s="313"/>
      <c r="Y18" s="318"/>
      <c r="Z18" s="306"/>
      <c r="AA18" s="313"/>
      <c r="AB18" s="313"/>
      <c r="AC18" s="318"/>
      <c r="AD18" s="306"/>
      <c r="AE18" s="313"/>
      <c r="AF18" s="313"/>
      <c r="AG18" s="318"/>
      <c r="AH18" s="319">
        <f>SUM(AH6:AH16)</f>
        <v>-6.663899999999999</v>
      </c>
      <c r="AI18" s="319"/>
      <c r="AJ18" s="310"/>
      <c r="AK18" s="310"/>
      <c r="AN18" s="25"/>
      <c r="AO18" s="26" t="s">
        <v>59</v>
      </c>
      <c r="AP18" s="26"/>
      <c r="AQ18" s="26" t="s">
        <v>60</v>
      </c>
      <c r="AR18" s="26"/>
      <c r="AS18" s="26" t="s">
        <v>58</v>
      </c>
      <c r="AT18" s="26">
        <v>1</v>
      </c>
      <c r="AU18" s="62">
        <v>4.4999999999999998E-2</v>
      </c>
      <c r="AV18" s="27">
        <f t="shared" si="6"/>
        <v>4.4999999999999998E-2</v>
      </c>
      <c r="AW18" s="62">
        <v>4.4999999999999998E-2</v>
      </c>
      <c r="AX18" s="28">
        <f t="shared" si="7"/>
        <v>4.4999999999999998E-2</v>
      </c>
      <c r="AY18" s="62">
        <v>4.4999999999999998E-2</v>
      </c>
      <c r="AZ18" s="28">
        <f t="shared" si="8"/>
        <v>4.4999999999999998E-2</v>
      </c>
      <c r="BA18" s="165">
        <v>4.48E-2</v>
      </c>
      <c r="BB18" s="27">
        <f t="shared" si="9"/>
        <v>4.48E-2</v>
      </c>
      <c r="BF18" s="132">
        <v>1</v>
      </c>
      <c r="BG18" s="103" t="s">
        <v>58</v>
      </c>
      <c r="BH18" s="107">
        <v>4.48E-2</v>
      </c>
      <c r="BI18" s="105">
        <f t="shared" si="10"/>
        <v>4.48E-2</v>
      </c>
      <c r="BJ18" s="107">
        <v>4.48E-2</v>
      </c>
      <c r="BK18" s="105">
        <f t="shared" si="11"/>
        <v>4.48E-2</v>
      </c>
      <c r="BL18" s="59"/>
      <c r="BM18" s="59"/>
    </row>
    <row r="19" spans="1:74" ht="15" x14ac:dyDescent="0.25">
      <c r="A19" s="306"/>
      <c r="B19" s="312"/>
      <c r="C19" s="313"/>
      <c r="D19" s="313"/>
      <c r="E19" s="318"/>
      <c r="F19" s="306"/>
      <c r="G19" s="313"/>
      <c r="H19" s="313"/>
      <c r="I19" s="318"/>
      <c r="J19" s="306"/>
      <c r="K19" s="313"/>
      <c r="L19" s="313"/>
      <c r="M19" s="318"/>
      <c r="N19" s="306"/>
      <c r="O19" s="313"/>
      <c r="P19" s="313"/>
      <c r="Q19" s="318"/>
      <c r="R19" s="306"/>
      <c r="S19" s="313"/>
      <c r="T19" s="313"/>
      <c r="U19" s="318"/>
      <c r="V19" s="306"/>
      <c r="W19" s="313"/>
      <c r="X19" s="313"/>
      <c r="Y19" s="318"/>
      <c r="Z19" s="306"/>
      <c r="AA19" s="313"/>
      <c r="AB19" s="313"/>
      <c r="AC19" s="318"/>
      <c r="AD19" s="306"/>
      <c r="AE19" s="313"/>
      <c r="AF19" s="313"/>
      <c r="AG19" s="318"/>
      <c r="AH19" s="319"/>
      <c r="AI19" s="319"/>
      <c r="AJ19" s="310"/>
      <c r="AK19" s="310"/>
      <c r="AN19" s="25"/>
      <c r="AO19" s="26" t="s">
        <v>61</v>
      </c>
      <c r="AP19" s="26"/>
      <c r="AQ19" s="26" t="s">
        <v>62</v>
      </c>
      <c r="AR19" s="26"/>
      <c r="AS19" s="26" t="s">
        <v>63</v>
      </c>
      <c r="AT19" s="26">
        <v>1</v>
      </c>
      <c r="AU19" s="62">
        <v>9.0999999999999998E-2</v>
      </c>
      <c r="AV19" s="27">
        <f t="shared" si="6"/>
        <v>9.0999999999999998E-2</v>
      </c>
      <c r="AW19" s="62">
        <v>9.0999999999999998E-2</v>
      </c>
      <c r="AX19" s="28">
        <f t="shared" si="7"/>
        <v>9.0999999999999998E-2</v>
      </c>
      <c r="AY19" s="62">
        <v>9.0999999999999998E-2</v>
      </c>
      <c r="AZ19" s="28">
        <f t="shared" si="8"/>
        <v>9.0999999999999998E-2</v>
      </c>
      <c r="BA19" s="62">
        <v>9.0999999999999998E-2</v>
      </c>
      <c r="BB19" s="27">
        <f t="shared" si="9"/>
        <v>9.0999999999999998E-2</v>
      </c>
      <c r="BF19" s="132">
        <v>1</v>
      </c>
      <c r="BG19" s="103" t="s">
        <v>64</v>
      </c>
      <c r="BH19" s="107">
        <v>8.2799999999999999E-2</v>
      </c>
      <c r="BI19" s="105">
        <f t="shared" si="10"/>
        <v>8.2799999999999999E-2</v>
      </c>
      <c r="BJ19" s="107">
        <v>8.2799999999999999E-2</v>
      </c>
      <c r="BK19" s="105">
        <f t="shared" si="11"/>
        <v>8.2799999999999999E-2</v>
      </c>
      <c r="BL19" s="59"/>
      <c r="BM19" s="59"/>
    </row>
    <row r="20" spans="1:74" ht="15" x14ac:dyDescent="0.25">
      <c r="A20" s="306"/>
      <c r="B20" s="312"/>
      <c r="C20" s="313"/>
      <c r="D20" s="313"/>
      <c r="E20" s="318"/>
      <c r="F20" s="306"/>
      <c r="G20" s="313"/>
      <c r="H20" s="313"/>
      <c r="I20" s="318"/>
      <c r="J20" s="306"/>
      <c r="K20" s="313"/>
      <c r="L20" s="313"/>
      <c r="M20" s="318"/>
      <c r="N20" s="306"/>
      <c r="O20" s="313"/>
      <c r="P20" s="313"/>
      <c r="Q20" s="318"/>
      <c r="R20" s="306"/>
      <c r="S20" s="313"/>
      <c r="T20" s="313"/>
      <c r="U20" s="318"/>
      <c r="V20" s="306"/>
      <c r="W20" s="313"/>
      <c r="X20" s="313"/>
      <c r="Y20" s="318"/>
      <c r="Z20" s="306"/>
      <c r="AA20" s="313"/>
      <c r="AB20" s="313"/>
      <c r="AC20" s="318"/>
      <c r="AD20" s="306"/>
      <c r="AE20" s="313"/>
      <c r="AF20" s="313"/>
      <c r="AG20" s="318"/>
      <c r="AH20" s="319"/>
      <c r="AI20" s="319"/>
      <c r="AJ20" s="310"/>
      <c r="AK20" s="310"/>
      <c r="AN20" s="25"/>
      <c r="AO20" s="26" t="s">
        <v>65</v>
      </c>
      <c r="AP20" s="26"/>
      <c r="AQ20" s="26" t="s">
        <v>66</v>
      </c>
      <c r="AR20" s="26"/>
      <c r="AS20" s="26"/>
      <c r="AT20" s="26">
        <v>1</v>
      </c>
      <c r="AU20" s="62">
        <v>4.1000000000000002E-2</v>
      </c>
      <c r="AV20" s="27">
        <f t="shared" si="6"/>
        <v>4.1000000000000002E-2</v>
      </c>
      <c r="AW20" s="62">
        <v>4.1000000000000002E-2</v>
      </c>
      <c r="AX20" s="28">
        <f t="shared" si="7"/>
        <v>4.1000000000000002E-2</v>
      </c>
      <c r="AY20" s="62">
        <v>4.1000000000000002E-2</v>
      </c>
      <c r="AZ20" s="28">
        <f t="shared" si="8"/>
        <v>4.1000000000000002E-2</v>
      </c>
      <c r="BA20" s="165">
        <v>3.5799999999999998E-2</v>
      </c>
      <c r="BB20" s="27">
        <f t="shared" si="9"/>
        <v>3.5799999999999998E-2</v>
      </c>
      <c r="BF20" s="132">
        <v>1</v>
      </c>
      <c r="BG20" s="103" t="s">
        <v>67</v>
      </c>
      <c r="BH20" s="107">
        <v>3.5799999999999998E-2</v>
      </c>
      <c r="BI20" s="105">
        <f t="shared" si="10"/>
        <v>3.5799999999999998E-2</v>
      </c>
      <c r="BJ20" s="107">
        <v>3.5799999999999998E-2</v>
      </c>
      <c r="BK20" s="105">
        <f t="shared" si="11"/>
        <v>3.5799999999999998E-2</v>
      </c>
      <c r="BL20" s="59">
        <f>+AV20-BB20</f>
        <v>5.2000000000000032E-3</v>
      </c>
      <c r="BM20" s="59"/>
    </row>
    <row r="21" spans="1:74" ht="15" x14ac:dyDescent="0.25">
      <c r="A21" s="306"/>
      <c r="B21" s="312"/>
      <c r="C21" s="313"/>
      <c r="D21" s="313"/>
      <c r="E21" s="318"/>
      <c r="F21" s="306"/>
      <c r="G21" s="313"/>
      <c r="H21" s="313"/>
      <c r="I21" s="318"/>
      <c r="J21" s="306"/>
      <c r="K21" s="313"/>
      <c r="L21" s="313"/>
      <c r="M21" s="318"/>
      <c r="N21" s="306"/>
      <c r="O21" s="313"/>
      <c r="P21" s="313"/>
      <c r="Q21" s="318"/>
      <c r="R21" s="306"/>
      <c r="S21" s="313"/>
      <c r="T21" s="313"/>
      <c r="U21" s="318"/>
      <c r="V21" s="306"/>
      <c r="W21" s="313"/>
      <c r="X21" s="313"/>
      <c r="Y21" s="318"/>
      <c r="Z21" s="306"/>
      <c r="AA21" s="313"/>
      <c r="AB21" s="313"/>
      <c r="AC21" s="318"/>
      <c r="AD21" s="306"/>
      <c r="AE21" s="313"/>
      <c r="AF21" s="313"/>
      <c r="AG21" s="318"/>
      <c r="AH21" s="319"/>
      <c r="AI21" s="319"/>
      <c r="AJ21" s="310"/>
      <c r="AK21" s="310"/>
      <c r="AN21" s="25"/>
      <c r="AO21" s="26" t="s">
        <v>68</v>
      </c>
      <c r="AP21" s="26"/>
      <c r="AQ21" s="26" t="s">
        <v>69</v>
      </c>
      <c r="AR21" s="26"/>
      <c r="AS21" s="26" t="s">
        <v>70</v>
      </c>
      <c r="AT21" s="26">
        <v>1</v>
      </c>
      <c r="AU21" s="62">
        <v>0.15</v>
      </c>
      <c r="AV21" s="27">
        <f t="shared" si="6"/>
        <v>0.15</v>
      </c>
      <c r="AW21" s="62">
        <v>0.15</v>
      </c>
      <c r="AX21" s="28">
        <f t="shared" si="7"/>
        <v>0.15</v>
      </c>
      <c r="AY21" s="62">
        <v>0.15</v>
      </c>
      <c r="AZ21" s="28">
        <f t="shared" si="8"/>
        <v>0.15</v>
      </c>
      <c r="BA21" s="336">
        <v>0.1</v>
      </c>
      <c r="BB21" s="27">
        <f t="shared" si="9"/>
        <v>0.1</v>
      </c>
      <c r="BF21" s="132">
        <v>1</v>
      </c>
      <c r="BG21" s="103"/>
      <c r="BH21" s="107">
        <v>0.04</v>
      </c>
      <c r="BI21" s="105">
        <f t="shared" si="10"/>
        <v>0.04</v>
      </c>
      <c r="BJ21" s="107">
        <v>0.04</v>
      </c>
      <c r="BK21" s="105">
        <f t="shared" si="11"/>
        <v>0.04</v>
      </c>
      <c r="BL21" s="59"/>
      <c r="BM21" s="184">
        <f>+AV21-BB21</f>
        <v>4.9999999999999989E-2</v>
      </c>
      <c r="BN21" s="59">
        <f>+AV21-BA21</f>
        <v>4.9999999999999989E-2</v>
      </c>
      <c r="BO21" s="59"/>
    </row>
    <row r="22" spans="1:74" ht="15.75" x14ac:dyDescent="0.25">
      <c r="A22" s="306"/>
      <c r="B22" s="312"/>
      <c r="C22" s="313"/>
      <c r="D22" s="313"/>
      <c r="E22" s="318"/>
      <c r="F22" s="306"/>
      <c r="G22" s="313"/>
      <c r="H22" s="313"/>
      <c r="I22" s="318"/>
      <c r="J22" s="306"/>
      <c r="K22" s="313"/>
      <c r="L22" s="313"/>
      <c r="M22" s="318"/>
      <c r="N22" s="306"/>
      <c r="O22" s="313"/>
      <c r="P22" s="313"/>
      <c r="Q22" s="318"/>
      <c r="R22" s="306"/>
      <c r="S22" s="313"/>
      <c r="T22" s="313"/>
      <c r="U22" s="318"/>
      <c r="V22" s="306"/>
      <c r="W22" s="313"/>
      <c r="X22" s="313"/>
      <c r="Y22" s="318"/>
      <c r="Z22" s="306"/>
      <c r="AA22" s="313"/>
      <c r="AB22" s="313"/>
      <c r="AC22" s="318"/>
      <c r="AD22" s="306"/>
      <c r="AE22" s="313"/>
      <c r="AF22" s="313"/>
      <c r="AG22" s="318"/>
      <c r="AH22" s="319"/>
      <c r="AI22" s="319"/>
      <c r="AJ22" s="310"/>
      <c r="AK22" s="310"/>
      <c r="AN22" s="41" t="s">
        <v>71</v>
      </c>
      <c r="AO22" s="42"/>
      <c r="AP22" s="42"/>
      <c r="AQ22" s="42" t="s">
        <v>72</v>
      </c>
      <c r="AR22" s="42"/>
      <c r="AS22" s="42"/>
      <c r="AT22" s="42">
        <v>1</v>
      </c>
      <c r="AU22" s="61"/>
      <c r="AV22" s="46">
        <f>SUM(AV23:AV27)</f>
        <v>4.4519999999999991</v>
      </c>
      <c r="AW22" s="61"/>
      <c r="AX22" s="43">
        <f>SUM(AX23:AX27)</f>
        <v>4.4380999999999995</v>
      </c>
      <c r="AY22" s="61"/>
      <c r="AZ22" s="43">
        <f>SUM(AZ23:AZ27)</f>
        <v>4.4750999999999994</v>
      </c>
      <c r="BA22" s="61"/>
      <c r="BB22" s="46">
        <f>SUM(BB23:BB27)</f>
        <v>4.4493</v>
      </c>
      <c r="BF22" s="131">
        <v>1</v>
      </c>
      <c r="BG22" s="96"/>
      <c r="BH22" s="97">
        <f>SUM(BH23:BH27)</f>
        <v>3.5926</v>
      </c>
      <c r="BI22" s="101">
        <f>SUM(BI23:BI27)</f>
        <v>3.7226999999999997</v>
      </c>
      <c r="BJ22" s="97"/>
      <c r="BK22" s="102">
        <f>SUM(BK23:BK27)</f>
        <v>3.4826999999999999</v>
      </c>
      <c r="BL22" s="59"/>
      <c r="BM22" s="59"/>
    </row>
    <row r="23" spans="1:74" ht="15" x14ac:dyDescent="0.25">
      <c r="A23" s="306"/>
      <c r="B23" s="312"/>
      <c r="C23" s="313"/>
      <c r="D23" s="313"/>
      <c r="E23" s="318"/>
      <c r="F23" s="306"/>
      <c r="G23" s="313"/>
      <c r="H23" s="313"/>
      <c r="I23" s="318"/>
      <c r="J23" s="306"/>
      <c r="K23" s="313"/>
      <c r="L23" s="313"/>
      <c r="M23" s="318"/>
      <c r="N23" s="306"/>
      <c r="O23" s="313"/>
      <c r="P23" s="313"/>
      <c r="Q23" s="318"/>
      <c r="R23" s="306"/>
      <c r="S23" s="313"/>
      <c r="T23" s="313"/>
      <c r="U23" s="318"/>
      <c r="V23" s="306"/>
      <c r="W23" s="313"/>
      <c r="X23" s="313"/>
      <c r="Y23" s="318"/>
      <c r="Z23" s="306"/>
      <c r="AA23" s="313"/>
      <c r="AB23" s="313"/>
      <c r="AC23" s="318"/>
      <c r="AD23" s="306"/>
      <c r="AE23" s="313"/>
      <c r="AF23" s="313"/>
      <c r="AG23" s="318"/>
      <c r="AH23" s="319"/>
      <c r="AI23" s="319"/>
      <c r="AJ23" s="310"/>
      <c r="AK23" s="310"/>
      <c r="AN23" s="25"/>
      <c r="AO23" s="26" t="s">
        <v>73</v>
      </c>
      <c r="AP23" s="26"/>
      <c r="AQ23" s="26" t="s">
        <v>74</v>
      </c>
      <c r="AR23" s="26"/>
      <c r="AS23" s="26"/>
      <c r="AT23" s="26">
        <v>2</v>
      </c>
      <c r="AU23" s="62">
        <v>0.15</v>
      </c>
      <c r="AV23" s="27">
        <f>$AT23*AU23</f>
        <v>0.3</v>
      </c>
      <c r="AW23" s="62">
        <v>0.15</v>
      </c>
      <c r="AX23" s="28">
        <f>$AT23*AW23</f>
        <v>0.3</v>
      </c>
      <c r="AY23" s="62">
        <v>0.15</v>
      </c>
      <c r="AZ23" s="28">
        <f>$AT23*AY23</f>
        <v>0.3</v>
      </c>
      <c r="BA23" s="165">
        <v>0.13009999999999999</v>
      </c>
      <c r="BB23" s="27">
        <f>$AT23*BA23</f>
        <v>0.26019999999999999</v>
      </c>
      <c r="BF23" s="132">
        <v>2</v>
      </c>
      <c r="BG23" s="103" t="s">
        <v>50</v>
      </c>
      <c r="BH23" s="107">
        <v>0.13009999999999999</v>
      </c>
      <c r="BI23" s="105">
        <f t="shared" ref="BI23:BI28" si="12">+BH23*BF23</f>
        <v>0.26019999999999999</v>
      </c>
      <c r="BJ23" s="107">
        <v>0.13009999999999999</v>
      </c>
      <c r="BK23" s="105">
        <f>+BJ23*BF23</f>
        <v>0.26019999999999999</v>
      </c>
      <c r="BL23" s="59">
        <f>+AV23-BB23</f>
        <v>3.9800000000000002E-2</v>
      </c>
      <c r="BM23" s="59"/>
    </row>
    <row r="24" spans="1:74" ht="15" x14ac:dyDescent="0.25">
      <c r="A24" s="306"/>
      <c r="B24" s="312"/>
      <c r="C24" s="313"/>
      <c r="D24" s="313"/>
      <c r="E24" s="318"/>
      <c r="F24" s="306"/>
      <c r="G24" s="313"/>
      <c r="H24" s="313"/>
      <c r="I24" s="318"/>
      <c r="J24" s="306"/>
      <c r="K24" s="313"/>
      <c r="L24" s="313"/>
      <c r="M24" s="318"/>
      <c r="N24" s="306"/>
      <c r="O24" s="313"/>
      <c r="P24" s="313"/>
      <c r="Q24" s="318"/>
      <c r="R24" s="306"/>
      <c r="S24" s="313"/>
      <c r="T24" s="313"/>
      <c r="U24" s="318"/>
      <c r="V24" s="306"/>
      <c r="W24" s="313"/>
      <c r="X24" s="313"/>
      <c r="Y24" s="318"/>
      <c r="Z24" s="306"/>
      <c r="AA24" s="313"/>
      <c r="AB24" s="313"/>
      <c r="AC24" s="318"/>
      <c r="AD24" s="306"/>
      <c r="AE24" s="313"/>
      <c r="AF24" s="313"/>
      <c r="AG24" s="318"/>
      <c r="AH24" s="319"/>
      <c r="AI24" s="319"/>
      <c r="AJ24" s="310"/>
      <c r="AK24" s="310"/>
      <c r="AN24" s="25"/>
      <c r="AO24" s="26" t="s">
        <v>75</v>
      </c>
      <c r="AP24" s="26"/>
      <c r="AQ24" s="26" t="s">
        <v>76</v>
      </c>
      <c r="AR24" s="26"/>
      <c r="AS24" s="26"/>
      <c r="AT24" s="26">
        <v>1</v>
      </c>
      <c r="AU24" s="62">
        <v>1.98</v>
      </c>
      <c r="AV24" s="27">
        <f>$AT24*AU24</f>
        <v>1.98</v>
      </c>
      <c r="AW24" s="62">
        <v>1.9661</v>
      </c>
      <c r="AX24" s="28">
        <f>$AT24*AW24</f>
        <v>1.9661</v>
      </c>
      <c r="AY24" s="62">
        <v>1.9661</v>
      </c>
      <c r="AZ24" s="28">
        <f>$AT24*AY24</f>
        <v>1.9661</v>
      </c>
      <c r="BA24" s="62">
        <v>1.9661</v>
      </c>
      <c r="BB24" s="27">
        <f>$AT24*BA24</f>
        <v>1.9661</v>
      </c>
      <c r="BF24" s="132">
        <v>1</v>
      </c>
      <c r="BG24" s="103" t="s">
        <v>50</v>
      </c>
      <c r="BH24" s="107">
        <v>1.6795</v>
      </c>
      <c r="BI24" s="105">
        <f t="shared" si="12"/>
        <v>1.6795</v>
      </c>
      <c r="BJ24" s="106">
        <v>1.5095000000000001</v>
      </c>
      <c r="BK24" s="105">
        <f>+BJ24*BF24</f>
        <v>1.5095000000000001</v>
      </c>
      <c r="BL24" s="59"/>
      <c r="BM24" s="59">
        <f>+AV24-BB24</f>
        <v>1.3900000000000023E-2</v>
      </c>
      <c r="BP24" s="59">
        <f>+BM24</f>
        <v>1.3900000000000023E-2</v>
      </c>
      <c r="BQ24" s="59">
        <f>+BB24-BJ24</f>
        <v>0.45659999999999989</v>
      </c>
    </row>
    <row r="25" spans="1:74" ht="15" x14ac:dyDescent="0.25">
      <c r="A25" s="306"/>
      <c r="B25" s="312"/>
      <c r="C25" s="313"/>
      <c r="D25" s="313"/>
      <c r="E25" s="318"/>
      <c r="F25" s="306"/>
      <c r="G25" s="313"/>
      <c r="H25" s="313"/>
      <c r="I25" s="318"/>
      <c r="J25" s="306"/>
      <c r="K25" s="313"/>
      <c r="L25" s="313"/>
      <c r="M25" s="318"/>
      <c r="N25" s="306"/>
      <c r="O25" s="313"/>
      <c r="P25" s="313"/>
      <c r="Q25" s="318"/>
      <c r="R25" s="306"/>
      <c r="S25" s="313"/>
      <c r="T25" s="313"/>
      <c r="U25" s="318"/>
      <c r="V25" s="306"/>
      <c r="W25" s="313"/>
      <c r="X25" s="313"/>
      <c r="Y25" s="318"/>
      <c r="Z25" s="306"/>
      <c r="AA25" s="313"/>
      <c r="AB25" s="313"/>
      <c r="AC25" s="318"/>
      <c r="AD25" s="306"/>
      <c r="AE25" s="313"/>
      <c r="AF25" s="313"/>
      <c r="AG25" s="318"/>
      <c r="AH25" s="319"/>
      <c r="AI25" s="319"/>
      <c r="AJ25" s="310"/>
      <c r="AK25" s="310"/>
      <c r="AN25" s="25"/>
      <c r="AO25" s="26" t="s">
        <v>77</v>
      </c>
      <c r="AP25" s="26"/>
      <c r="AQ25" s="26" t="s">
        <v>78</v>
      </c>
      <c r="AR25" s="26"/>
      <c r="AS25" s="26"/>
      <c r="AT25" s="26">
        <v>1</v>
      </c>
      <c r="AU25" s="62">
        <v>3.6999999999999998E-2</v>
      </c>
      <c r="AV25" s="27">
        <f>$AT25*AU25</f>
        <v>3.6999999999999998E-2</v>
      </c>
      <c r="AW25" s="62">
        <v>3.6999999999999998E-2</v>
      </c>
      <c r="AX25" s="28">
        <f>$AT25*AW25</f>
        <v>3.6999999999999998E-2</v>
      </c>
      <c r="AY25" s="62">
        <v>3.6999999999999998E-2</v>
      </c>
      <c r="AZ25" s="28">
        <f>$AT25*AY25</f>
        <v>3.6999999999999998E-2</v>
      </c>
      <c r="BA25" s="62">
        <v>3.6999999999999998E-2</v>
      </c>
      <c r="BB25" s="27">
        <f>$AT25*BA25</f>
        <v>3.6999999999999998E-2</v>
      </c>
      <c r="BF25" s="132">
        <v>1</v>
      </c>
      <c r="BG25" s="103"/>
      <c r="BH25" s="107">
        <v>1.7000000000000001E-2</v>
      </c>
      <c r="BI25" s="105">
        <f t="shared" si="12"/>
        <v>1.7000000000000001E-2</v>
      </c>
      <c r="BJ25" s="107">
        <v>1.7000000000000001E-2</v>
      </c>
      <c r="BK25" s="105">
        <f>+BJ25*BF25</f>
        <v>1.7000000000000001E-2</v>
      </c>
      <c r="BL25" s="59"/>
      <c r="BM25" s="59"/>
    </row>
    <row r="26" spans="1:74" ht="15" x14ac:dyDescent="0.25">
      <c r="A26" s="306"/>
      <c r="B26" s="312"/>
      <c r="C26" s="313"/>
      <c r="D26" s="313"/>
      <c r="E26" s="318"/>
      <c r="F26" s="306"/>
      <c r="G26" s="313"/>
      <c r="H26" s="313"/>
      <c r="I26" s="318"/>
      <c r="J26" s="306"/>
      <c r="K26" s="313"/>
      <c r="L26" s="313"/>
      <c r="M26" s="318"/>
      <c r="N26" s="306"/>
      <c r="O26" s="313"/>
      <c r="P26" s="313"/>
      <c r="Q26" s="318"/>
      <c r="R26" s="306"/>
      <c r="S26" s="313"/>
      <c r="T26" s="313"/>
      <c r="U26" s="318"/>
      <c r="V26" s="306"/>
      <c r="W26" s="313"/>
      <c r="X26" s="313"/>
      <c r="Y26" s="318"/>
      <c r="Z26" s="306"/>
      <c r="AA26" s="313"/>
      <c r="AB26" s="313"/>
      <c r="AC26" s="318"/>
      <c r="AD26" s="306"/>
      <c r="AE26" s="313"/>
      <c r="AF26" s="313"/>
      <c r="AG26" s="318"/>
      <c r="AH26" s="319"/>
      <c r="AI26" s="319"/>
      <c r="AJ26" s="310"/>
      <c r="AK26" s="310"/>
      <c r="AN26" s="25"/>
      <c r="AO26" s="26" t="s">
        <v>79</v>
      </c>
      <c r="AP26" s="26"/>
      <c r="AQ26" s="26" t="s">
        <v>80</v>
      </c>
      <c r="AR26" s="26"/>
      <c r="AS26" s="26"/>
      <c r="AT26" s="26">
        <v>1</v>
      </c>
      <c r="AU26" s="62">
        <v>1.79</v>
      </c>
      <c r="AV26" s="27">
        <f>$AT26*AU26</f>
        <v>1.79</v>
      </c>
      <c r="AW26" s="62">
        <v>1.79</v>
      </c>
      <c r="AX26" s="28">
        <f>$AT26*AW26</f>
        <v>1.79</v>
      </c>
      <c r="AY26" s="62">
        <v>1.79</v>
      </c>
      <c r="AZ26" s="28">
        <f>$AT26*AY26</f>
        <v>1.79</v>
      </c>
      <c r="BA26" s="62">
        <v>1.79</v>
      </c>
      <c r="BB26" s="27">
        <f>$AT26*BA26</f>
        <v>1.79</v>
      </c>
      <c r="BF26" s="132">
        <v>1</v>
      </c>
      <c r="BG26" s="103" t="s">
        <v>81</v>
      </c>
      <c r="BH26" s="107">
        <v>1.37</v>
      </c>
      <c r="BI26" s="105">
        <f t="shared" si="12"/>
        <v>1.37</v>
      </c>
      <c r="BJ26" s="106">
        <v>1.3</v>
      </c>
      <c r="BK26" s="105">
        <f>+BJ26*BF26</f>
        <v>1.3</v>
      </c>
      <c r="BL26" s="59"/>
      <c r="BM26" s="59"/>
    </row>
    <row r="27" spans="1:74" ht="15" x14ac:dyDescent="0.25">
      <c r="A27" s="306"/>
      <c r="B27" s="312"/>
      <c r="C27" s="313"/>
      <c r="D27" s="313"/>
      <c r="E27" s="318"/>
      <c r="F27" s="306"/>
      <c r="G27" s="313"/>
      <c r="H27" s="313"/>
      <c r="I27" s="318"/>
      <c r="J27" s="306"/>
      <c r="K27" s="313"/>
      <c r="L27" s="313"/>
      <c r="M27" s="318"/>
      <c r="N27" s="306"/>
      <c r="O27" s="313"/>
      <c r="P27" s="313"/>
      <c r="Q27" s="318"/>
      <c r="R27" s="306"/>
      <c r="S27" s="313"/>
      <c r="T27" s="313"/>
      <c r="U27" s="318"/>
      <c r="V27" s="306"/>
      <c r="W27" s="313"/>
      <c r="X27" s="313"/>
      <c r="Y27" s="318"/>
      <c r="Z27" s="306"/>
      <c r="AA27" s="313"/>
      <c r="AB27" s="313"/>
      <c r="AC27" s="318"/>
      <c r="AD27" s="306"/>
      <c r="AE27" s="313"/>
      <c r="AF27" s="313"/>
      <c r="AG27" s="318"/>
      <c r="AH27" s="319"/>
      <c r="AI27" s="319"/>
      <c r="AJ27" s="310"/>
      <c r="AK27" s="310"/>
      <c r="AN27" s="25"/>
      <c r="AO27" s="26" t="s">
        <v>82</v>
      </c>
      <c r="AP27" s="26"/>
      <c r="AQ27" s="26" t="s">
        <v>83</v>
      </c>
      <c r="AR27" s="26"/>
      <c r="AS27" s="26"/>
      <c r="AT27" s="26">
        <v>1</v>
      </c>
      <c r="AU27" s="62">
        <v>0.34499999999999997</v>
      </c>
      <c r="AV27" s="27">
        <f>$AT27*AU27</f>
        <v>0.34499999999999997</v>
      </c>
      <c r="AW27" s="62">
        <v>0.34499999999999997</v>
      </c>
      <c r="AX27" s="28">
        <f>$AT27*AW27</f>
        <v>0.34499999999999997</v>
      </c>
      <c r="AY27" s="62">
        <v>0.38200000000000001</v>
      </c>
      <c r="AZ27" s="28">
        <f>$AT27*AY27</f>
        <v>0.38200000000000001</v>
      </c>
      <c r="BA27" s="165">
        <v>0.39600000000000002</v>
      </c>
      <c r="BB27" s="27">
        <f>$AT27*BA27</f>
        <v>0.39600000000000002</v>
      </c>
      <c r="BF27" s="132">
        <v>1</v>
      </c>
      <c r="BG27" s="103" t="s">
        <v>84</v>
      </c>
      <c r="BH27" s="107">
        <v>0.39600000000000002</v>
      </c>
      <c r="BI27" s="105">
        <f t="shared" si="12"/>
        <v>0.39600000000000002</v>
      </c>
      <c r="BJ27" s="107">
        <v>0.39600000000000002</v>
      </c>
      <c r="BK27" s="105">
        <f>+BJ27*BF27</f>
        <v>0.39600000000000002</v>
      </c>
      <c r="BL27" s="59"/>
      <c r="BM27" s="59"/>
    </row>
    <row r="28" spans="1:74" ht="15.75" x14ac:dyDescent="0.25">
      <c r="A28" s="306"/>
      <c r="B28" s="312"/>
      <c r="C28" s="313"/>
      <c r="D28" s="313"/>
      <c r="E28" s="318"/>
      <c r="F28" s="306"/>
      <c r="G28" s="313"/>
      <c r="H28" s="313"/>
      <c r="I28" s="318"/>
      <c r="J28" s="306"/>
      <c r="K28" s="313"/>
      <c r="L28" s="313"/>
      <c r="M28" s="318"/>
      <c r="N28" s="306"/>
      <c r="O28" s="313"/>
      <c r="P28" s="313"/>
      <c r="Q28" s="318"/>
      <c r="R28" s="306"/>
      <c r="S28" s="313"/>
      <c r="T28" s="313"/>
      <c r="U28" s="318"/>
      <c r="V28" s="306"/>
      <c r="W28" s="313"/>
      <c r="X28" s="313"/>
      <c r="Y28" s="318"/>
      <c r="Z28" s="306"/>
      <c r="AA28" s="313"/>
      <c r="AB28" s="313"/>
      <c r="AC28" s="318"/>
      <c r="AD28" s="306"/>
      <c r="AE28" s="313"/>
      <c r="AF28" s="313"/>
      <c r="AG28" s="318"/>
      <c r="AH28" s="319"/>
      <c r="AI28" s="319"/>
      <c r="AJ28" s="310"/>
      <c r="AK28" s="310"/>
      <c r="AN28" s="41" t="s">
        <v>85</v>
      </c>
      <c r="AO28" s="42"/>
      <c r="AP28" s="42"/>
      <c r="AQ28" s="42" t="s">
        <v>86</v>
      </c>
      <c r="AR28" s="42"/>
      <c r="AS28" s="42"/>
      <c r="AT28" s="42">
        <v>1</v>
      </c>
      <c r="AU28" s="61">
        <f>+AV28-I181</f>
        <v>53.84</v>
      </c>
      <c r="AV28" s="46">
        <v>53.84</v>
      </c>
      <c r="AW28" s="61">
        <f>+AX28-K181</f>
        <v>47.77</v>
      </c>
      <c r="AX28" s="43">
        <v>47.77</v>
      </c>
      <c r="AY28" s="61">
        <f>+AZ28-M181</f>
        <v>46.09</v>
      </c>
      <c r="AZ28" s="43">
        <v>46.09</v>
      </c>
      <c r="BA28" s="61">
        <f>+BB28-O181</f>
        <v>39.32</v>
      </c>
      <c r="BB28" s="182">
        <v>39.32</v>
      </c>
      <c r="BF28" s="131">
        <v>1</v>
      </c>
      <c r="BG28" s="337"/>
      <c r="BH28" s="97">
        <v>36.767899999999997</v>
      </c>
      <c r="BI28" s="108">
        <f t="shared" si="12"/>
        <v>36.767899999999997</v>
      </c>
      <c r="BJ28" s="100">
        <f>36.7679-2.2878</f>
        <v>34.4801</v>
      </c>
      <c r="BK28" s="109">
        <f>(+BJ28*BF28)</f>
        <v>34.4801</v>
      </c>
      <c r="BL28" s="59"/>
      <c r="BM28" s="59"/>
      <c r="BS28" s="54">
        <f>+AU28-BA28</f>
        <v>14.520000000000003</v>
      </c>
      <c r="BT28" s="54" t="e">
        <f>+#REF!-BK28</f>
        <v>#REF!</v>
      </c>
      <c r="BV28" s="334" t="e">
        <f>+#REF!-#REF!</f>
        <v>#REF!</v>
      </c>
    </row>
    <row r="29" spans="1:74" ht="15.75" x14ac:dyDescent="0.25">
      <c r="A29" s="306"/>
      <c r="B29" s="312"/>
      <c r="C29" s="313"/>
      <c r="D29" s="313"/>
      <c r="E29" s="318"/>
      <c r="F29" s="306"/>
      <c r="G29" s="313"/>
      <c r="H29" s="313"/>
      <c r="I29" s="318"/>
      <c r="J29" s="306"/>
      <c r="K29" s="313"/>
      <c r="L29" s="313"/>
      <c r="M29" s="318"/>
      <c r="N29" s="306"/>
      <c r="O29" s="313"/>
      <c r="P29" s="313"/>
      <c r="Q29" s="318"/>
      <c r="R29" s="306"/>
      <c r="S29" s="313"/>
      <c r="T29" s="313"/>
      <c r="U29" s="318"/>
      <c r="V29" s="306"/>
      <c r="W29" s="313"/>
      <c r="X29" s="313"/>
      <c r="Y29" s="318"/>
      <c r="Z29" s="306"/>
      <c r="AA29" s="313"/>
      <c r="AB29" s="313"/>
      <c r="AC29" s="318"/>
      <c r="AD29" s="306"/>
      <c r="AE29" s="313"/>
      <c r="AF29" s="313"/>
      <c r="AG29" s="318"/>
      <c r="AH29" s="319"/>
      <c r="AI29" s="319"/>
      <c r="AJ29" s="310"/>
      <c r="AK29" s="310"/>
      <c r="AN29" s="41" t="s">
        <v>87</v>
      </c>
      <c r="AO29" s="42"/>
      <c r="AP29" s="42"/>
      <c r="AQ29" s="42" t="s">
        <v>88</v>
      </c>
      <c r="AR29" s="42"/>
      <c r="AS29" s="42"/>
      <c r="AT29" s="42"/>
      <c r="AU29" s="61"/>
      <c r="AV29" s="46">
        <f>SUM(AV30:AV54)</f>
        <v>37.670505199999994</v>
      </c>
      <c r="AW29" s="61"/>
      <c r="AX29" s="46">
        <f>SUM(AX30:AX54)</f>
        <v>35.779405199999999</v>
      </c>
      <c r="AY29" s="61"/>
      <c r="AZ29" s="46">
        <f>SUM(AZ30:AZ54)</f>
        <v>34.558105199999993</v>
      </c>
      <c r="BA29" s="61"/>
      <c r="BB29" s="46">
        <f>SUM(BB30:BB54)</f>
        <v>34.368705199999994</v>
      </c>
      <c r="BF29" s="131"/>
      <c r="BG29" s="96"/>
      <c r="BH29" s="97"/>
      <c r="BI29" s="101">
        <f>SUM(BI30:BI55)+BI53+BI54</f>
        <v>74.480699999999999</v>
      </c>
      <c r="BJ29" s="97"/>
      <c r="BK29" s="102">
        <f>SUM(BK30:BK55)</f>
        <v>66.149300000000011</v>
      </c>
      <c r="BL29" s="59"/>
      <c r="BM29" s="59"/>
    </row>
    <row r="30" spans="1:74" ht="15" x14ac:dyDescent="0.25">
      <c r="A30" s="306"/>
      <c r="B30" s="312"/>
      <c r="C30" s="313"/>
      <c r="D30" s="313"/>
      <c r="E30" s="318"/>
      <c r="F30" s="306"/>
      <c r="G30" s="313"/>
      <c r="H30" s="313"/>
      <c r="I30" s="318"/>
      <c r="J30" s="306"/>
      <c r="K30" s="313"/>
      <c r="L30" s="313"/>
      <c r="M30" s="318"/>
      <c r="N30" s="306"/>
      <c r="O30" s="313"/>
      <c r="P30" s="313"/>
      <c r="Q30" s="318"/>
      <c r="R30" s="306"/>
      <c r="S30" s="313"/>
      <c r="T30" s="313"/>
      <c r="U30" s="318"/>
      <c r="V30" s="306"/>
      <c r="W30" s="313"/>
      <c r="X30" s="313"/>
      <c r="Y30" s="318"/>
      <c r="Z30" s="306"/>
      <c r="AA30" s="313"/>
      <c r="AB30" s="313"/>
      <c r="AC30" s="318"/>
      <c r="AD30" s="306"/>
      <c r="AE30" s="313"/>
      <c r="AF30" s="313"/>
      <c r="AG30" s="318"/>
      <c r="AH30" s="319"/>
      <c r="AI30" s="319"/>
      <c r="AJ30" s="310"/>
      <c r="AK30" s="310"/>
      <c r="AN30" s="25"/>
      <c r="AO30" s="26" t="s">
        <v>89</v>
      </c>
      <c r="AP30" s="26"/>
      <c r="AQ30" s="26" t="s">
        <v>90</v>
      </c>
      <c r="AR30" s="26"/>
      <c r="AS30" s="26"/>
      <c r="AT30" s="26">
        <v>1</v>
      </c>
      <c r="AU30" s="62">
        <v>16.2</v>
      </c>
      <c r="AV30" s="27">
        <f t="shared" ref="AV30:AV37" si="13">$AT30*AU30</f>
        <v>16.2</v>
      </c>
      <c r="AW30" s="62">
        <v>16.2</v>
      </c>
      <c r="AX30" s="28">
        <f t="shared" ref="AX30:AX37" si="14">$AT30*AW30</f>
        <v>16.2</v>
      </c>
      <c r="AY30" s="62">
        <v>16.2</v>
      </c>
      <c r="AZ30" s="28">
        <f t="shared" ref="AZ30:AZ37" si="15">$AT30*AY30</f>
        <v>16.2</v>
      </c>
      <c r="BA30" s="165">
        <v>16.2</v>
      </c>
      <c r="BB30" s="27">
        <f t="shared" ref="BB30:BB37" si="16">$AT30*BA30</f>
        <v>16.2</v>
      </c>
      <c r="BF30" s="132">
        <v>1</v>
      </c>
      <c r="BG30" s="103" t="s">
        <v>91</v>
      </c>
      <c r="BH30" s="107">
        <v>16.2</v>
      </c>
      <c r="BI30" s="105">
        <f t="shared" ref="BI30:BI37" si="17">+BH30*BF30</f>
        <v>16.2</v>
      </c>
      <c r="BJ30" s="107">
        <v>16.2</v>
      </c>
      <c r="BK30" s="105">
        <f t="shared" ref="BK30:BK37" si="18">+BJ30*BF30</f>
        <v>16.2</v>
      </c>
      <c r="BL30" s="59"/>
      <c r="BM30" s="59"/>
    </row>
    <row r="31" spans="1:74" ht="15" x14ac:dyDescent="0.25">
      <c r="B31"/>
      <c r="T31" s="76"/>
      <c r="AN31" s="25"/>
      <c r="AO31" s="26" t="s">
        <v>25</v>
      </c>
      <c r="AP31" s="26"/>
      <c r="AQ31" s="26" t="s">
        <v>26</v>
      </c>
      <c r="AR31" s="26"/>
      <c r="AS31" s="26"/>
      <c r="AT31" s="26">
        <v>4</v>
      </c>
      <c r="AU31" s="62">
        <v>7.1999999999999995E-2</v>
      </c>
      <c r="AV31" s="27">
        <f t="shared" si="13"/>
        <v>0.28799999999999998</v>
      </c>
      <c r="AW31" s="62">
        <v>7.1999999999999995E-2</v>
      </c>
      <c r="AX31" s="28">
        <f t="shared" si="14"/>
        <v>0.28799999999999998</v>
      </c>
      <c r="AY31" s="62">
        <v>7.1999999999999995E-2</v>
      </c>
      <c r="AZ31" s="28">
        <f t="shared" si="15"/>
        <v>0.28799999999999998</v>
      </c>
      <c r="BA31" s="165">
        <v>7.17E-2</v>
      </c>
      <c r="BB31" s="27">
        <f t="shared" si="16"/>
        <v>0.2868</v>
      </c>
      <c r="BF31" s="132">
        <v>4</v>
      </c>
      <c r="BG31" s="103" t="s">
        <v>24</v>
      </c>
      <c r="BH31" s="107">
        <v>7.17E-2</v>
      </c>
      <c r="BI31" s="105">
        <f t="shared" si="17"/>
        <v>0.2868</v>
      </c>
      <c r="BJ31" s="107">
        <v>7.17E-2</v>
      </c>
      <c r="BK31" s="105">
        <f t="shared" si="18"/>
        <v>0.2868</v>
      </c>
      <c r="BL31" s="59">
        <f>+AV31-BB31</f>
        <v>1.1999999999999789E-3</v>
      </c>
      <c r="BM31" s="59"/>
    </row>
    <row r="32" spans="1:74" ht="15" x14ac:dyDescent="0.25">
      <c r="B32"/>
      <c r="AN32" s="25"/>
      <c r="AO32" s="26" t="s">
        <v>92</v>
      </c>
      <c r="AP32" s="26"/>
      <c r="AQ32" s="26" t="s">
        <v>93</v>
      </c>
      <c r="AR32" s="26"/>
      <c r="AS32" s="26"/>
      <c r="AT32" s="26">
        <v>4</v>
      </c>
      <c r="AU32" s="62">
        <v>0.02</v>
      </c>
      <c r="AV32" s="27">
        <f t="shared" si="13"/>
        <v>0.08</v>
      </c>
      <c r="AW32" s="62">
        <v>0.02</v>
      </c>
      <c r="AX32" s="28">
        <f t="shared" si="14"/>
        <v>0.08</v>
      </c>
      <c r="AY32" s="62">
        <v>0.02</v>
      </c>
      <c r="AZ32" s="28">
        <f t="shared" si="15"/>
        <v>0.08</v>
      </c>
      <c r="BA32" s="165">
        <v>1.49E-2</v>
      </c>
      <c r="BB32" s="27">
        <f t="shared" si="16"/>
        <v>5.96E-2</v>
      </c>
      <c r="BF32" s="132">
        <v>4</v>
      </c>
      <c r="BG32" s="103" t="s">
        <v>24</v>
      </c>
      <c r="BH32" s="107">
        <v>1.49E-2</v>
      </c>
      <c r="BI32" s="105">
        <f t="shared" si="17"/>
        <v>5.96E-2</v>
      </c>
      <c r="BJ32" s="107">
        <v>1.49E-2</v>
      </c>
      <c r="BK32" s="105">
        <f t="shared" si="18"/>
        <v>5.96E-2</v>
      </c>
      <c r="BL32" s="59">
        <f>+AV32-BB32</f>
        <v>2.0400000000000001E-2</v>
      </c>
      <c r="BM32" s="59"/>
    </row>
    <row r="33" spans="2:69" ht="15" x14ac:dyDescent="0.25">
      <c r="B33"/>
      <c r="AN33" s="25"/>
      <c r="AO33" s="26" t="s">
        <v>94</v>
      </c>
      <c r="AP33" s="26"/>
      <c r="AQ33" s="26" t="s">
        <v>95</v>
      </c>
      <c r="AR33" s="26"/>
      <c r="AS33" s="26"/>
      <c r="AT33" s="26">
        <v>1</v>
      </c>
      <c r="AU33" s="62">
        <v>2.5000000000000001E-2</v>
      </c>
      <c r="AV33" s="27">
        <f t="shared" si="13"/>
        <v>2.5000000000000001E-2</v>
      </c>
      <c r="AW33" s="62">
        <v>2.5000000000000001E-2</v>
      </c>
      <c r="AX33" s="28">
        <f t="shared" si="14"/>
        <v>2.5000000000000001E-2</v>
      </c>
      <c r="AY33" s="62">
        <v>2.5000000000000001E-2</v>
      </c>
      <c r="AZ33" s="28">
        <f t="shared" si="15"/>
        <v>2.5000000000000001E-2</v>
      </c>
      <c r="BA33" s="62">
        <v>2.5000000000000001E-2</v>
      </c>
      <c r="BB33" s="27">
        <f t="shared" si="16"/>
        <v>2.5000000000000001E-2</v>
      </c>
      <c r="BF33" s="132">
        <v>1</v>
      </c>
      <c r="BG33" s="103" t="s">
        <v>96</v>
      </c>
      <c r="BH33" s="107">
        <v>5.1999999999999998E-2</v>
      </c>
      <c r="BI33" s="105">
        <f t="shared" si="17"/>
        <v>5.1999999999999998E-2</v>
      </c>
      <c r="BJ33" s="107">
        <v>5.1999999999999998E-2</v>
      </c>
      <c r="BK33" s="105">
        <f t="shared" si="18"/>
        <v>5.1999999999999998E-2</v>
      </c>
      <c r="BL33" s="59"/>
      <c r="BM33" s="59"/>
    </row>
    <row r="34" spans="2:69" ht="15" x14ac:dyDescent="0.25">
      <c r="B34"/>
      <c r="AN34" s="25"/>
      <c r="AO34" s="26" t="s">
        <v>97</v>
      </c>
      <c r="AP34" s="26"/>
      <c r="AQ34" s="26"/>
      <c r="AR34" s="26"/>
      <c r="AS34" s="26"/>
      <c r="AT34" s="26">
        <v>0.04</v>
      </c>
      <c r="AU34" s="62">
        <v>0.19</v>
      </c>
      <c r="AV34" s="27">
        <f t="shared" si="13"/>
        <v>7.6E-3</v>
      </c>
      <c r="AW34" s="62">
        <v>0.19</v>
      </c>
      <c r="AX34" s="28">
        <f t="shared" si="14"/>
        <v>7.6E-3</v>
      </c>
      <c r="AY34" s="62">
        <v>0.19</v>
      </c>
      <c r="AZ34" s="28">
        <f t="shared" si="15"/>
        <v>7.6E-3</v>
      </c>
      <c r="BA34" s="62">
        <v>0.19</v>
      </c>
      <c r="BB34" s="27">
        <f t="shared" si="16"/>
        <v>7.6E-3</v>
      </c>
      <c r="BF34" s="132"/>
      <c r="BG34" s="103"/>
      <c r="BH34" s="107"/>
      <c r="BI34" s="105">
        <f t="shared" si="17"/>
        <v>0</v>
      </c>
      <c r="BJ34" s="107"/>
      <c r="BK34" s="105">
        <f t="shared" si="18"/>
        <v>0</v>
      </c>
      <c r="BL34" s="59"/>
      <c r="BM34" s="59"/>
    </row>
    <row r="35" spans="2:69" ht="15" x14ac:dyDescent="0.25">
      <c r="B35"/>
      <c r="AN35" s="25"/>
      <c r="AO35" s="26" t="s">
        <v>98</v>
      </c>
      <c r="AP35" s="26"/>
      <c r="AQ35" s="26" t="s">
        <v>99</v>
      </c>
      <c r="AR35" s="26"/>
      <c r="AS35" s="26"/>
      <c r="AT35" s="26">
        <v>1</v>
      </c>
      <c r="AU35" s="62">
        <v>0.82199999999999995</v>
      </c>
      <c r="AV35" s="27">
        <f t="shared" si="13"/>
        <v>0.82199999999999995</v>
      </c>
      <c r="AW35" s="62">
        <v>0.80700000000000005</v>
      </c>
      <c r="AX35" s="28">
        <f t="shared" si="14"/>
        <v>0.80700000000000005</v>
      </c>
      <c r="AY35" s="62">
        <v>0.80700000000000005</v>
      </c>
      <c r="AZ35" s="28">
        <f t="shared" si="15"/>
        <v>0.80700000000000005</v>
      </c>
      <c r="BA35" s="165">
        <v>0.68</v>
      </c>
      <c r="BB35" s="27">
        <f t="shared" si="16"/>
        <v>0.68</v>
      </c>
      <c r="BF35" s="132">
        <v>1</v>
      </c>
      <c r="BG35" s="103" t="s">
        <v>100</v>
      </c>
      <c r="BH35" s="107">
        <v>0.68</v>
      </c>
      <c r="BI35" s="105">
        <f t="shared" si="17"/>
        <v>0.68</v>
      </c>
      <c r="BJ35" s="107">
        <v>0.68</v>
      </c>
      <c r="BK35" s="105">
        <f t="shared" si="18"/>
        <v>0.68</v>
      </c>
      <c r="BL35" s="59">
        <f>+AV35-BB35</f>
        <v>0.1419999999999999</v>
      </c>
      <c r="BM35" s="59"/>
    </row>
    <row r="36" spans="2:69" ht="15" x14ac:dyDescent="0.25">
      <c r="B36"/>
      <c r="AN36" s="25"/>
      <c r="AO36" s="26" t="s">
        <v>101</v>
      </c>
      <c r="AP36" s="26"/>
      <c r="AQ36" s="26" t="s">
        <v>102</v>
      </c>
      <c r="AR36" s="26"/>
      <c r="AS36" s="26"/>
      <c r="AT36" s="26">
        <v>1.5748</v>
      </c>
      <c r="AU36" s="62">
        <v>9.9000000000000005E-2</v>
      </c>
      <c r="AV36" s="27">
        <f t="shared" si="13"/>
        <v>0.15590519999999999</v>
      </c>
      <c r="AW36" s="62">
        <v>9.9000000000000005E-2</v>
      </c>
      <c r="AX36" s="28">
        <f t="shared" si="14"/>
        <v>0.15590519999999999</v>
      </c>
      <c r="AY36" s="62">
        <v>9.9000000000000005E-2</v>
      </c>
      <c r="AZ36" s="28">
        <f t="shared" si="15"/>
        <v>0.15590519999999999</v>
      </c>
      <c r="BA36" s="62">
        <v>9.9000000000000005E-2</v>
      </c>
      <c r="BB36" s="27">
        <f t="shared" si="16"/>
        <v>0.15590519999999999</v>
      </c>
      <c r="BF36" s="132">
        <v>1</v>
      </c>
      <c r="BG36" s="103"/>
      <c r="BH36" s="107">
        <v>0.15509999999999999</v>
      </c>
      <c r="BI36" s="105">
        <f t="shared" si="17"/>
        <v>0.15509999999999999</v>
      </c>
      <c r="BJ36" s="107">
        <v>0.15509999999999999</v>
      </c>
      <c r="BK36" s="105">
        <f t="shared" si="18"/>
        <v>0.15509999999999999</v>
      </c>
      <c r="BL36" s="59"/>
      <c r="BM36" s="59"/>
    </row>
    <row r="37" spans="2:69" ht="15" x14ac:dyDescent="0.25">
      <c r="B37"/>
      <c r="AN37" s="25"/>
      <c r="AO37" s="26" t="s">
        <v>103</v>
      </c>
      <c r="AP37" s="26"/>
      <c r="AQ37" s="26" t="s">
        <v>104</v>
      </c>
      <c r="AR37" s="26"/>
      <c r="AS37" s="26"/>
      <c r="AT37" s="26">
        <v>1</v>
      </c>
      <c r="AU37" s="62">
        <v>8.86</v>
      </c>
      <c r="AV37" s="27">
        <f t="shared" si="13"/>
        <v>8.86</v>
      </c>
      <c r="AW37" s="62">
        <v>8.2100000000000009</v>
      </c>
      <c r="AX37" s="28">
        <f t="shared" si="14"/>
        <v>8.2100000000000009</v>
      </c>
      <c r="AY37" s="62">
        <v>7.42</v>
      </c>
      <c r="AZ37" s="28">
        <f t="shared" si="15"/>
        <v>7.42</v>
      </c>
      <c r="BA37" s="336">
        <v>7.54</v>
      </c>
      <c r="BB37" s="27">
        <f t="shared" si="16"/>
        <v>7.54</v>
      </c>
      <c r="BF37" s="132">
        <v>1</v>
      </c>
      <c r="BG37" s="103" t="s">
        <v>34</v>
      </c>
      <c r="BH37" s="104">
        <v>7.84</v>
      </c>
      <c r="BI37" s="105">
        <f t="shared" si="17"/>
        <v>7.84</v>
      </c>
      <c r="BJ37" s="106">
        <v>7.14</v>
      </c>
      <c r="BK37" s="105">
        <f t="shared" si="18"/>
        <v>7.14</v>
      </c>
      <c r="BL37" s="59"/>
      <c r="BM37" s="59">
        <f>+AV37-BB37</f>
        <v>1.3199999999999994</v>
      </c>
      <c r="BN37" s="59">
        <f>+AV37-BB37</f>
        <v>1.3199999999999994</v>
      </c>
      <c r="BO37" s="59"/>
      <c r="BQ37" s="59">
        <f>+BB37-BJ37</f>
        <v>0.40000000000000036</v>
      </c>
    </row>
    <row r="38" spans="2:69" ht="15" x14ac:dyDescent="0.25">
      <c r="B38"/>
      <c r="AN38" s="47"/>
      <c r="AO38" s="48"/>
      <c r="AP38" s="48" t="s">
        <v>105</v>
      </c>
      <c r="AQ38" s="48" t="s">
        <v>106</v>
      </c>
      <c r="AR38" s="48"/>
      <c r="AS38" s="48"/>
      <c r="AT38" s="48"/>
      <c r="AU38" s="63"/>
      <c r="AV38" s="49"/>
      <c r="AW38" s="63"/>
      <c r="AX38" s="50"/>
      <c r="AY38" s="63"/>
      <c r="AZ38" s="50"/>
      <c r="BA38" s="63"/>
      <c r="BB38" s="49"/>
      <c r="BF38" s="133"/>
      <c r="BG38" s="110"/>
      <c r="BH38" s="111"/>
      <c r="BI38" s="112"/>
      <c r="BJ38" s="111"/>
      <c r="BK38" s="112"/>
      <c r="BL38" s="59"/>
      <c r="BM38" s="59"/>
    </row>
    <row r="39" spans="2:69" ht="15" x14ac:dyDescent="0.25">
      <c r="B39"/>
      <c r="AN39" s="25"/>
      <c r="AO39" s="26" t="s">
        <v>107</v>
      </c>
      <c r="AP39" s="26"/>
      <c r="AQ39" s="26" t="s">
        <v>108</v>
      </c>
      <c r="AR39" s="26"/>
      <c r="AS39" s="26"/>
      <c r="AT39" s="26">
        <v>1</v>
      </c>
      <c r="AU39" s="62">
        <v>0.60599999999999998</v>
      </c>
      <c r="AV39" s="27">
        <f t="shared" ref="AV39:AV48" si="19">$AT39*AU39</f>
        <v>0.60599999999999998</v>
      </c>
      <c r="AW39" s="62">
        <v>0.60599999999999998</v>
      </c>
      <c r="AX39" s="28">
        <f t="shared" ref="AX39:AX48" si="20">$AT39*AW39</f>
        <v>0.60599999999999998</v>
      </c>
      <c r="AY39" s="62">
        <v>0.60599999999999998</v>
      </c>
      <c r="AZ39" s="28">
        <f t="shared" ref="AZ39:AZ48" si="21">$AT39*AY39</f>
        <v>0.60599999999999998</v>
      </c>
      <c r="BA39" s="180">
        <v>0.45</v>
      </c>
      <c r="BB39" s="27">
        <f t="shared" ref="BB39:BB48" si="22">$AT39*BA39</f>
        <v>0.45</v>
      </c>
      <c r="BF39" s="132">
        <v>1</v>
      </c>
      <c r="BG39" s="103" t="s">
        <v>38</v>
      </c>
      <c r="BH39" s="107">
        <v>0.63</v>
      </c>
      <c r="BI39" s="105">
        <f t="shared" ref="BI39:BI48" si="23">+BH39*BF39</f>
        <v>0.63</v>
      </c>
      <c r="BJ39" s="106">
        <v>0.60599999999999998</v>
      </c>
      <c r="BK39" s="105">
        <f t="shared" ref="BK39:BK48" si="24">+BJ39*BF39</f>
        <v>0.60599999999999998</v>
      </c>
      <c r="BL39" s="59"/>
      <c r="BM39" s="59"/>
      <c r="BO39" s="59">
        <f>+AV39-BB39</f>
        <v>0.15599999999999997</v>
      </c>
    </row>
    <row r="40" spans="2:69" ht="15" x14ac:dyDescent="0.25">
      <c r="B40"/>
      <c r="AN40" s="25"/>
      <c r="AO40" s="26" t="s">
        <v>109</v>
      </c>
      <c r="AP40" s="26"/>
      <c r="AQ40" s="26" t="s">
        <v>110</v>
      </c>
      <c r="AR40" s="26"/>
      <c r="AS40" s="26"/>
      <c r="AT40" s="26">
        <v>1</v>
      </c>
      <c r="AU40" s="62">
        <v>0.31</v>
      </c>
      <c r="AV40" s="27">
        <f t="shared" si="19"/>
        <v>0.31</v>
      </c>
      <c r="AW40" s="62">
        <v>0.31</v>
      </c>
      <c r="AX40" s="28">
        <f t="shared" si="20"/>
        <v>0.31</v>
      </c>
      <c r="AY40" s="62">
        <v>0.31</v>
      </c>
      <c r="AZ40" s="28">
        <f t="shared" si="21"/>
        <v>0.31</v>
      </c>
      <c r="BA40" s="62">
        <v>0.31</v>
      </c>
      <c r="BB40" s="27">
        <f t="shared" si="22"/>
        <v>0.31</v>
      </c>
      <c r="BF40" s="132">
        <v>1</v>
      </c>
      <c r="BG40" s="103" t="s">
        <v>81</v>
      </c>
      <c r="BH40" s="107">
        <v>0.31</v>
      </c>
      <c r="BI40" s="105">
        <f t="shared" si="23"/>
        <v>0.31</v>
      </c>
      <c r="BJ40" s="107">
        <v>0.31</v>
      </c>
      <c r="BK40" s="105">
        <f t="shared" si="24"/>
        <v>0.31</v>
      </c>
      <c r="BL40" s="59"/>
      <c r="BM40" s="59"/>
    </row>
    <row r="41" spans="2:69" ht="15" x14ac:dyDescent="0.25">
      <c r="B41"/>
      <c r="AN41" s="25"/>
      <c r="AO41" s="26" t="s">
        <v>111</v>
      </c>
      <c r="AP41" s="26"/>
      <c r="AQ41" s="26" t="s">
        <v>112</v>
      </c>
      <c r="AR41" s="26"/>
      <c r="AS41" s="26"/>
      <c r="AT41" s="26">
        <v>1</v>
      </c>
      <c r="AU41" s="62">
        <v>0.59499999999999997</v>
      </c>
      <c r="AV41" s="27">
        <f t="shared" si="19"/>
        <v>0.59499999999999997</v>
      </c>
      <c r="AW41" s="62">
        <v>0.59789999999999999</v>
      </c>
      <c r="AX41" s="28">
        <f t="shared" si="20"/>
        <v>0.59789999999999999</v>
      </c>
      <c r="AY41" s="62">
        <v>0.53110000000000002</v>
      </c>
      <c r="AZ41" s="28">
        <f t="shared" si="21"/>
        <v>0.53110000000000002</v>
      </c>
      <c r="BA41" s="62">
        <v>0.53110000000000002</v>
      </c>
      <c r="BB41" s="27">
        <f t="shared" si="22"/>
        <v>0.53110000000000002</v>
      </c>
      <c r="BF41" s="132">
        <v>1</v>
      </c>
      <c r="BG41" s="103" t="s">
        <v>113</v>
      </c>
      <c r="BH41" s="107">
        <v>0.38200000000000001</v>
      </c>
      <c r="BI41" s="105">
        <f t="shared" si="23"/>
        <v>0.38200000000000001</v>
      </c>
      <c r="BJ41" s="107">
        <v>0.38200000000000001</v>
      </c>
      <c r="BK41" s="105">
        <f t="shared" si="24"/>
        <v>0.38200000000000001</v>
      </c>
      <c r="BL41" s="59"/>
      <c r="BM41" s="59">
        <f>+AV41-BB41</f>
        <v>6.3899999999999957E-2</v>
      </c>
      <c r="BP41" s="59">
        <f>+BM41</f>
        <v>6.3899999999999957E-2</v>
      </c>
      <c r="BQ41" s="59">
        <f>+BB41-BJ41</f>
        <v>0.14910000000000001</v>
      </c>
    </row>
    <row r="42" spans="2:69" ht="15" x14ac:dyDescent="0.25">
      <c r="B42"/>
      <c r="AN42" s="25"/>
      <c r="AO42" s="26" t="s">
        <v>114</v>
      </c>
      <c r="AP42" s="26"/>
      <c r="AQ42" s="26" t="s">
        <v>115</v>
      </c>
      <c r="AR42" s="26"/>
      <c r="AS42" s="26"/>
      <c r="AT42" s="26">
        <v>1</v>
      </c>
      <c r="AU42" s="62">
        <v>0.59499999999999997</v>
      </c>
      <c r="AV42" s="27">
        <f t="shared" si="19"/>
        <v>0.59499999999999997</v>
      </c>
      <c r="AW42" s="62">
        <v>0.59789999999999999</v>
      </c>
      <c r="AX42" s="28">
        <f t="shared" si="20"/>
        <v>0.59789999999999999</v>
      </c>
      <c r="AY42" s="62">
        <v>0.53110000000000002</v>
      </c>
      <c r="AZ42" s="28">
        <f t="shared" si="21"/>
        <v>0.53110000000000002</v>
      </c>
      <c r="BA42" s="62">
        <v>0.53110000000000002</v>
      </c>
      <c r="BB42" s="27">
        <f t="shared" si="22"/>
        <v>0.53110000000000002</v>
      </c>
      <c r="BF42" s="132">
        <v>1</v>
      </c>
      <c r="BG42" s="103" t="s">
        <v>113</v>
      </c>
      <c r="BH42" s="107">
        <v>0.36980000000000002</v>
      </c>
      <c r="BI42" s="105">
        <f t="shared" si="23"/>
        <v>0.36980000000000002</v>
      </c>
      <c r="BJ42" s="107">
        <v>0.36980000000000002</v>
      </c>
      <c r="BK42" s="105">
        <f t="shared" si="24"/>
        <v>0.36980000000000002</v>
      </c>
      <c r="BL42" s="59"/>
      <c r="BM42" s="59">
        <f>+AV42-BB42</f>
        <v>6.3899999999999957E-2</v>
      </c>
      <c r="BP42" s="59">
        <f>+BM42</f>
        <v>6.3899999999999957E-2</v>
      </c>
      <c r="BQ42" s="59">
        <f>+BB42-BJ42</f>
        <v>0.1613</v>
      </c>
    </row>
    <row r="43" spans="2:69" ht="15" x14ac:dyDescent="0.25">
      <c r="B43"/>
      <c r="AN43" s="25"/>
      <c r="AO43" s="26" t="s">
        <v>116</v>
      </c>
      <c r="AP43" s="26"/>
      <c r="AQ43" s="26" t="s">
        <v>117</v>
      </c>
      <c r="AR43" s="26"/>
      <c r="AS43" s="26"/>
      <c r="AT43" s="26">
        <v>1</v>
      </c>
      <c r="AU43" s="62">
        <v>0.57799999999999996</v>
      </c>
      <c r="AV43" s="27">
        <f t="shared" si="19"/>
        <v>0.57799999999999996</v>
      </c>
      <c r="AW43" s="62">
        <v>0.5161</v>
      </c>
      <c r="AX43" s="28">
        <f t="shared" si="20"/>
        <v>0.5161</v>
      </c>
      <c r="AY43" s="62">
        <v>0.41839999999999999</v>
      </c>
      <c r="AZ43" s="28">
        <f t="shared" si="21"/>
        <v>0.41839999999999999</v>
      </c>
      <c r="BA43" s="62">
        <v>0.41839999999999999</v>
      </c>
      <c r="BB43" s="27">
        <f t="shared" si="22"/>
        <v>0.41839999999999999</v>
      </c>
      <c r="BF43" s="132">
        <v>1</v>
      </c>
      <c r="BG43" s="103" t="s">
        <v>113</v>
      </c>
      <c r="BH43" s="107">
        <v>0.2407</v>
      </c>
      <c r="BI43" s="105">
        <f t="shared" si="23"/>
        <v>0.2407</v>
      </c>
      <c r="BJ43" s="107">
        <v>0.2407</v>
      </c>
      <c r="BK43" s="105">
        <f t="shared" si="24"/>
        <v>0.2407</v>
      </c>
      <c r="BL43" s="59"/>
      <c r="BM43" s="185">
        <f>+AV43-BB43</f>
        <v>0.15959999999999996</v>
      </c>
      <c r="BP43" s="59">
        <f>+BM43</f>
        <v>0.15959999999999996</v>
      </c>
      <c r="BQ43" s="59">
        <f>+BB43-BJ43</f>
        <v>0.1777</v>
      </c>
    </row>
    <row r="44" spans="2:69" ht="15" x14ac:dyDescent="0.25">
      <c r="B44"/>
      <c r="AN44" s="25"/>
      <c r="AO44" s="26" t="s">
        <v>118</v>
      </c>
      <c r="AP44" s="26"/>
      <c r="AQ44" s="26" t="s">
        <v>119</v>
      </c>
      <c r="AR44" s="26"/>
      <c r="AS44" s="26"/>
      <c r="AT44" s="26">
        <v>1</v>
      </c>
      <c r="AU44" s="62">
        <v>3.5000000000000003E-2</v>
      </c>
      <c r="AV44" s="27">
        <f t="shared" si="19"/>
        <v>3.5000000000000003E-2</v>
      </c>
      <c r="AW44" s="62">
        <v>3.5000000000000003E-2</v>
      </c>
      <c r="AX44" s="28">
        <f t="shared" si="20"/>
        <v>3.5000000000000003E-2</v>
      </c>
      <c r="AY44" s="62">
        <v>3.5000000000000003E-2</v>
      </c>
      <c r="AZ44" s="28">
        <f t="shared" si="21"/>
        <v>3.5000000000000003E-2</v>
      </c>
      <c r="BA44" s="62">
        <v>3.5000000000000003E-2</v>
      </c>
      <c r="BB44" s="27">
        <f t="shared" si="22"/>
        <v>3.5000000000000003E-2</v>
      </c>
      <c r="BF44" s="132">
        <v>1</v>
      </c>
      <c r="BG44" s="103" t="s">
        <v>120</v>
      </c>
      <c r="BH44" s="107">
        <v>3.04E-2</v>
      </c>
      <c r="BI44" s="105">
        <f t="shared" si="23"/>
        <v>3.04E-2</v>
      </c>
      <c r="BJ44" s="107">
        <v>3.04E-2</v>
      </c>
      <c r="BK44" s="105">
        <f t="shared" si="24"/>
        <v>3.04E-2</v>
      </c>
      <c r="BL44" s="59"/>
      <c r="BM44" s="59"/>
    </row>
    <row r="45" spans="2:69" ht="15" x14ac:dyDescent="0.25">
      <c r="B45"/>
      <c r="AN45" s="25"/>
      <c r="AO45" s="26" t="s">
        <v>121</v>
      </c>
      <c r="AP45" s="26"/>
      <c r="AQ45" s="26" t="s">
        <v>122</v>
      </c>
      <c r="AR45" s="26"/>
      <c r="AS45" s="26"/>
      <c r="AT45" s="26">
        <v>1</v>
      </c>
      <c r="AU45" s="62">
        <v>2.4E-2</v>
      </c>
      <c r="AV45" s="27">
        <f t="shared" si="19"/>
        <v>2.4E-2</v>
      </c>
      <c r="AW45" s="62">
        <v>2.4E-2</v>
      </c>
      <c r="AX45" s="28">
        <f t="shared" si="20"/>
        <v>2.4E-2</v>
      </c>
      <c r="AY45" s="62">
        <v>2.4E-2</v>
      </c>
      <c r="AZ45" s="28">
        <f t="shared" si="21"/>
        <v>2.4E-2</v>
      </c>
      <c r="BA45" s="62">
        <v>2.4E-2</v>
      </c>
      <c r="BB45" s="27">
        <f t="shared" si="22"/>
        <v>2.4E-2</v>
      </c>
      <c r="BF45" s="132">
        <v>1</v>
      </c>
      <c r="BG45" s="103" t="s">
        <v>120</v>
      </c>
      <c r="BH45" s="107">
        <v>3.4000000000000002E-2</v>
      </c>
      <c r="BI45" s="105">
        <f t="shared" si="23"/>
        <v>3.4000000000000002E-2</v>
      </c>
      <c r="BJ45" s="107">
        <v>3.4000000000000002E-2</v>
      </c>
      <c r="BK45" s="105">
        <f t="shared" si="24"/>
        <v>3.4000000000000002E-2</v>
      </c>
      <c r="BL45" s="59"/>
      <c r="BM45" s="59"/>
    </row>
    <row r="46" spans="2:69" ht="15" x14ac:dyDescent="0.25">
      <c r="B46"/>
      <c r="AN46" s="25"/>
      <c r="AO46" s="26" t="s">
        <v>123</v>
      </c>
      <c r="AP46" s="26"/>
      <c r="AQ46" s="26" t="s">
        <v>124</v>
      </c>
      <c r="AR46" s="26"/>
      <c r="AS46" s="26"/>
      <c r="AT46" s="26">
        <v>1</v>
      </c>
      <c r="AU46" s="62">
        <v>5.2999999999999999E-2</v>
      </c>
      <c r="AV46" s="27">
        <f t="shared" si="19"/>
        <v>5.2999999999999999E-2</v>
      </c>
      <c r="AW46" s="62">
        <v>5.2999999999999999E-2</v>
      </c>
      <c r="AX46" s="28">
        <f t="shared" si="20"/>
        <v>5.2999999999999999E-2</v>
      </c>
      <c r="AY46" s="62">
        <v>5.2999999999999999E-2</v>
      </c>
      <c r="AZ46" s="28">
        <f t="shared" si="21"/>
        <v>5.2999999999999999E-2</v>
      </c>
      <c r="BA46" s="62">
        <v>5.2999999999999999E-2</v>
      </c>
      <c r="BB46" s="27">
        <f t="shared" si="22"/>
        <v>5.2999999999999999E-2</v>
      </c>
      <c r="BF46" s="132">
        <v>1</v>
      </c>
      <c r="BG46" s="103" t="s">
        <v>125</v>
      </c>
      <c r="BH46" s="107">
        <v>5.2900000000000003E-2</v>
      </c>
      <c r="BI46" s="105">
        <f t="shared" si="23"/>
        <v>5.2900000000000003E-2</v>
      </c>
      <c r="BJ46" s="107">
        <v>5.2900000000000003E-2</v>
      </c>
      <c r="BK46" s="105">
        <f t="shared" si="24"/>
        <v>5.2900000000000003E-2</v>
      </c>
      <c r="BL46" s="59"/>
      <c r="BM46" s="59"/>
    </row>
    <row r="47" spans="2:69" ht="15" x14ac:dyDescent="0.25">
      <c r="B47"/>
      <c r="AN47" s="25"/>
      <c r="AO47" s="26" t="s">
        <v>126</v>
      </c>
      <c r="AP47" s="26"/>
      <c r="AQ47" s="26" t="s">
        <v>127</v>
      </c>
      <c r="AR47" s="26"/>
      <c r="AS47" s="26"/>
      <c r="AT47" s="26">
        <v>1</v>
      </c>
      <c r="AU47" s="62">
        <v>6.6000000000000003E-2</v>
      </c>
      <c r="AV47" s="27">
        <f t="shared" si="19"/>
        <v>6.6000000000000003E-2</v>
      </c>
      <c r="AW47" s="62">
        <v>6.6000000000000003E-2</v>
      </c>
      <c r="AX47" s="28">
        <f t="shared" si="20"/>
        <v>6.6000000000000003E-2</v>
      </c>
      <c r="AY47" s="62">
        <v>6.6000000000000003E-2</v>
      </c>
      <c r="AZ47" s="28">
        <f t="shared" si="21"/>
        <v>6.6000000000000003E-2</v>
      </c>
      <c r="BA47" s="165">
        <v>6.6299999999999998E-2</v>
      </c>
      <c r="BB47" s="27">
        <f t="shared" si="22"/>
        <v>6.6299999999999998E-2</v>
      </c>
      <c r="BF47" s="132">
        <v>1</v>
      </c>
      <c r="BG47" s="103" t="s">
        <v>128</v>
      </c>
      <c r="BH47" s="107">
        <v>6.6299999999999998E-2</v>
      </c>
      <c r="BI47" s="105">
        <f t="shared" si="23"/>
        <v>6.6299999999999998E-2</v>
      </c>
      <c r="BJ47" s="107">
        <v>6.6299999999999998E-2</v>
      </c>
      <c r="BK47" s="105">
        <f t="shared" si="24"/>
        <v>6.6299999999999998E-2</v>
      </c>
      <c r="BL47" s="59"/>
      <c r="BM47" s="59"/>
    </row>
    <row r="48" spans="2:69" ht="15" x14ac:dyDescent="0.25">
      <c r="B48"/>
      <c r="AN48" s="25"/>
      <c r="AO48" s="171" t="s">
        <v>129</v>
      </c>
      <c r="AP48" s="171"/>
      <c r="AQ48" s="171" t="s">
        <v>130</v>
      </c>
      <c r="AR48" s="171"/>
      <c r="AS48" s="171"/>
      <c r="AT48" s="171">
        <v>1</v>
      </c>
      <c r="AU48" s="172">
        <v>0.96</v>
      </c>
      <c r="AV48" s="173">
        <f t="shared" si="19"/>
        <v>0.96</v>
      </c>
      <c r="AW48" s="172">
        <v>0.96</v>
      </c>
      <c r="AX48" s="174">
        <f t="shared" si="20"/>
        <v>0.96</v>
      </c>
      <c r="AY48" s="172">
        <v>0.96</v>
      </c>
      <c r="AZ48" s="174">
        <f t="shared" si="21"/>
        <v>0.96</v>
      </c>
      <c r="BA48" s="172">
        <v>0.96</v>
      </c>
      <c r="BB48" s="173">
        <f t="shared" si="22"/>
        <v>0.96</v>
      </c>
      <c r="BF48" s="132">
        <v>1</v>
      </c>
      <c r="BG48" s="103" t="s">
        <v>131</v>
      </c>
      <c r="BH48" s="104">
        <v>1.1299999999999999</v>
      </c>
      <c r="BI48" s="105">
        <f t="shared" si="23"/>
        <v>1.1299999999999999</v>
      </c>
      <c r="BJ48" s="106">
        <v>0.85</v>
      </c>
      <c r="BK48" s="105">
        <f t="shared" si="24"/>
        <v>0.85</v>
      </c>
      <c r="BL48" s="59"/>
      <c r="BM48" s="59"/>
    </row>
    <row r="49" spans="2:69" ht="15" x14ac:dyDescent="0.25">
      <c r="B49"/>
      <c r="AN49" s="47"/>
      <c r="AO49" s="48"/>
      <c r="AP49" s="48" t="s">
        <v>132</v>
      </c>
      <c r="AQ49" s="48" t="s">
        <v>133</v>
      </c>
      <c r="AR49" s="48"/>
      <c r="AS49" s="48"/>
      <c r="AT49" s="48"/>
      <c r="AU49" s="63"/>
      <c r="AV49" s="49"/>
      <c r="AW49" s="63"/>
      <c r="AX49" s="50"/>
      <c r="AY49" s="63"/>
      <c r="AZ49" s="50"/>
      <c r="BA49" s="63"/>
      <c r="BB49" s="49"/>
      <c r="BF49" s="133"/>
      <c r="BG49" s="110">
        <v>0.02</v>
      </c>
      <c r="BH49" s="111"/>
      <c r="BI49" s="112"/>
      <c r="BJ49" s="111"/>
      <c r="BK49" s="112"/>
      <c r="BL49" s="59"/>
      <c r="BM49" s="59"/>
    </row>
    <row r="50" spans="2:69" ht="15" x14ac:dyDescent="0.25">
      <c r="B50"/>
      <c r="AN50" s="47"/>
      <c r="AO50" s="48"/>
      <c r="AP50" s="48" t="s">
        <v>134</v>
      </c>
      <c r="AQ50" s="48" t="s">
        <v>135</v>
      </c>
      <c r="AR50" s="48"/>
      <c r="AS50" s="48"/>
      <c r="AT50" s="48"/>
      <c r="AU50" s="63"/>
      <c r="AV50" s="49"/>
      <c r="AW50" s="63"/>
      <c r="AX50" s="50"/>
      <c r="AY50" s="63"/>
      <c r="AZ50" s="50"/>
      <c r="BA50" s="63"/>
      <c r="BB50" s="49"/>
      <c r="BF50" s="133"/>
      <c r="BG50" s="110">
        <v>0.12</v>
      </c>
      <c r="BH50" s="111"/>
      <c r="BI50" s="112"/>
      <c r="BJ50" s="111"/>
      <c r="BK50" s="112"/>
      <c r="BL50" s="59"/>
      <c r="BM50" s="59"/>
    </row>
    <row r="51" spans="2:69" ht="15" x14ac:dyDescent="0.25">
      <c r="B51"/>
      <c r="AN51" s="47"/>
      <c r="AO51" s="48"/>
      <c r="AP51" s="48" t="s">
        <v>136</v>
      </c>
      <c r="AQ51" s="48" t="s">
        <v>137</v>
      </c>
      <c r="AR51" s="48"/>
      <c r="AS51" s="48"/>
      <c r="AT51" s="48"/>
      <c r="AU51" s="63"/>
      <c r="AV51" s="49"/>
      <c r="AW51" s="63"/>
      <c r="AX51" s="50"/>
      <c r="AY51" s="63"/>
      <c r="AZ51" s="50"/>
      <c r="BA51" s="63"/>
      <c r="BB51" s="49"/>
      <c r="BF51" s="133"/>
      <c r="BG51" s="110">
        <v>7.7799999999999994E-2</v>
      </c>
      <c r="BH51" s="111"/>
      <c r="BI51" s="112"/>
      <c r="BJ51" s="111"/>
      <c r="BK51" s="112"/>
      <c r="BL51" s="59"/>
      <c r="BM51" s="59"/>
    </row>
    <row r="52" spans="2:69" ht="15" x14ac:dyDescent="0.25">
      <c r="B52"/>
      <c r="AN52" s="25"/>
      <c r="AO52" s="26" t="s">
        <v>138</v>
      </c>
      <c r="AP52" s="26"/>
      <c r="AQ52" s="26" t="s">
        <v>139</v>
      </c>
      <c r="AR52" s="26"/>
      <c r="AS52" s="26"/>
      <c r="AT52" s="26">
        <v>1</v>
      </c>
      <c r="AU52" s="62">
        <v>0.44</v>
      </c>
      <c r="AV52" s="27">
        <f>$AT52*AU52</f>
        <v>0.44</v>
      </c>
      <c r="AW52" s="62">
        <v>0.44</v>
      </c>
      <c r="AX52" s="28">
        <f>$AT52*AW52</f>
        <v>0.44</v>
      </c>
      <c r="AY52" s="62">
        <v>0.44</v>
      </c>
      <c r="AZ52" s="28">
        <f>$AT52*AY52</f>
        <v>0.44</v>
      </c>
      <c r="BA52" s="62">
        <v>0.44</v>
      </c>
      <c r="BB52" s="27">
        <f>$AT52*BA52</f>
        <v>0.44</v>
      </c>
      <c r="BF52" s="132">
        <v>1</v>
      </c>
      <c r="BG52" s="103" t="s">
        <v>131</v>
      </c>
      <c r="BH52" s="107">
        <v>0.44</v>
      </c>
      <c r="BI52" s="105">
        <f>+BH52*BF52</f>
        <v>0.44</v>
      </c>
      <c r="BJ52" s="107">
        <v>0.44</v>
      </c>
      <c r="BK52" s="105">
        <f>+BJ52*BF52</f>
        <v>0.44</v>
      </c>
      <c r="BL52" s="59"/>
      <c r="BM52" s="59"/>
    </row>
    <row r="53" spans="2:69" ht="15" x14ac:dyDescent="0.25">
      <c r="B53"/>
      <c r="AN53" s="25"/>
      <c r="AO53" s="26" t="s">
        <v>140</v>
      </c>
      <c r="AP53" s="26"/>
      <c r="AQ53" s="26" t="s">
        <v>141</v>
      </c>
      <c r="AR53" s="26"/>
      <c r="AS53" s="26"/>
      <c r="AT53" s="26">
        <v>1</v>
      </c>
      <c r="AU53" s="62">
        <v>0.04</v>
      </c>
      <c r="AV53" s="27">
        <f>$AT53*AU53</f>
        <v>0.04</v>
      </c>
      <c r="AW53" s="62">
        <v>0.04</v>
      </c>
      <c r="AX53" s="28">
        <f>$AT53*AW53</f>
        <v>0.04</v>
      </c>
      <c r="AY53" s="62">
        <v>0.04</v>
      </c>
      <c r="AZ53" s="28">
        <f>$AT53*AY53</f>
        <v>0.04</v>
      </c>
      <c r="BA53" s="165">
        <v>3.49E-2</v>
      </c>
      <c r="BB53" s="27">
        <f>$AT53*BA53</f>
        <v>3.49E-2</v>
      </c>
      <c r="BF53" s="132">
        <v>1</v>
      </c>
      <c r="BG53" s="103"/>
      <c r="BH53" s="107">
        <v>3.44E-2</v>
      </c>
      <c r="BI53" s="105">
        <f>+BH53*BF103</f>
        <v>3.44E-2</v>
      </c>
      <c r="BJ53" s="107">
        <v>3.44E-2</v>
      </c>
      <c r="BK53" s="105">
        <f>+BJ53*BF103</f>
        <v>3.44E-2</v>
      </c>
      <c r="BL53" s="59">
        <f>+AV53-BB53</f>
        <v>5.1000000000000004E-3</v>
      </c>
      <c r="BM53" s="59"/>
    </row>
    <row r="54" spans="2:69" ht="15" x14ac:dyDescent="0.25">
      <c r="B54"/>
      <c r="AN54" s="25"/>
      <c r="AO54" s="26" t="s">
        <v>142</v>
      </c>
      <c r="AP54" s="26"/>
      <c r="AQ54" s="26" t="s">
        <v>143</v>
      </c>
      <c r="AR54" s="26"/>
      <c r="AS54" s="26"/>
      <c r="AT54" s="26">
        <v>1</v>
      </c>
      <c r="AU54" s="62">
        <v>6.93</v>
      </c>
      <c r="AV54" s="27">
        <f>$AT54*AU54</f>
        <v>6.93</v>
      </c>
      <c r="AW54" s="62">
        <v>5.76</v>
      </c>
      <c r="AX54" s="28">
        <f>$AT54*AW54</f>
        <v>5.76</v>
      </c>
      <c r="AY54" s="62">
        <v>5.56</v>
      </c>
      <c r="AZ54" s="28">
        <f>$AT54*AY54</f>
        <v>5.56</v>
      </c>
      <c r="BA54" s="165">
        <v>5.56</v>
      </c>
      <c r="BB54" s="27">
        <f>$AT54*BA54</f>
        <v>5.56</v>
      </c>
      <c r="BF54" s="134">
        <v>8</v>
      </c>
      <c r="BG54" s="103" t="s">
        <v>144</v>
      </c>
      <c r="BH54" s="107">
        <v>6.41</v>
      </c>
      <c r="BI54" s="105">
        <f>+BH54*BF104</f>
        <v>6.41</v>
      </c>
      <c r="BJ54" s="106">
        <v>5.7</v>
      </c>
      <c r="BK54" s="105">
        <f>+BJ54*BF104</f>
        <v>5.7</v>
      </c>
      <c r="BL54" s="59">
        <f>+AV54-BB54</f>
        <v>1.37</v>
      </c>
      <c r="BQ54" s="59"/>
    </row>
    <row r="55" spans="2:69" ht="15.75" x14ac:dyDescent="0.25">
      <c r="B55"/>
      <c r="AN55" s="41"/>
      <c r="AO55" s="42" t="s">
        <v>147</v>
      </c>
      <c r="AP55" s="42"/>
      <c r="AQ55" s="42" t="s">
        <v>148</v>
      </c>
      <c r="AR55" s="42"/>
      <c r="AS55" s="42"/>
      <c r="AT55" s="42">
        <v>1</v>
      </c>
      <c r="AU55" s="61">
        <f>SUM(AV56:AV103)</f>
        <v>35.139800000000001</v>
      </c>
      <c r="AV55" s="46">
        <f>SUM(AV56:AV104)</f>
        <v>41.657436869999998</v>
      </c>
      <c r="AW55" s="61">
        <f>SUM(AX56:AX103)</f>
        <v>33.537799999999997</v>
      </c>
      <c r="AX55" s="46">
        <f>SUM(AX56:AX104)</f>
        <v>39.934245569999995</v>
      </c>
      <c r="AY55" s="61">
        <f>SUM(AZ56:AZ103)</f>
        <v>34.1798</v>
      </c>
      <c r="AZ55" s="46">
        <f>SUM(AZ56:AZ104)</f>
        <v>40.62481287</v>
      </c>
      <c r="BA55" s="61">
        <f>SUM(BB56:BB103)</f>
        <v>29.790900000000001</v>
      </c>
      <c r="BB55" s="46">
        <f>SUM(BB56:BB104)</f>
        <v>32.803899999999999</v>
      </c>
      <c r="BF55" s="134">
        <v>2</v>
      </c>
      <c r="BG55" s="113"/>
      <c r="BH55" s="107">
        <f>32.6649-3.01</f>
        <v>29.654900000000005</v>
      </c>
      <c r="BI55" s="114">
        <f>SUM(BI56:BI104)</f>
        <v>32.632300000000001</v>
      </c>
      <c r="BJ55" s="107">
        <f>+BK55-BK104</f>
        <v>29.446700000000007</v>
      </c>
      <c r="BK55" s="115">
        <f>SUM(BK56:BK104)</f>
        <v>32.459300000000006</v>
      </c>
      <c r="BL55" s="59"/>
      <c r="BM55" s="59"/>
    </row>
    <row r="56" spans="2:69" x14ac:dyDescent="0.2">
      <c r="B56"/>
      <c r="AN56" s="25"/>
      <c r="AO56" s="26"/>
      <c r="AP56" s="26" t="s">
        <v>149</v>
      </c>
      <c r="AQ56" s="26" t="s">
        <v>150</v>
      </c>
      <c r="AR56" s="26"/>
      <c r="AS56" s="26"/>
      <c r="AT56" s="26">
        <v>8</v>
      </c>
      <c r="AU56" s="52">
        <v>5.7999999999999996E-3</v>
      </c>
      <c r="AV56" s="27">
        <f t="shared" ref="AV56:AV84" si="25">$AT56*AU56</f>
        <v>4.6399999999999997E-2</v>
      </c>
      <c r="AW56" s="52">
        <v>5.7999999999999996E-3</v>
      </c>
      <c r="AX56" s="28">
        <f t="shared" ref="AX56:AX84" si="26">$AT56*AW56</f>
        <v>4.6399999999999997E-2</v>
      </c>
      <c r="AY56" s="52">
        <v>5.7999999999999996E-3</v>
      </c>
      <c r="AZ56" s="28">
        <f t="shared" ref="AZ56:AZ84" si="27">$AT56*AY56</f>
        <v>4.6399999999999997E-2</v>
      </c>
      <c r="BA56" s="52">
        <v>8.0000000000000002E-3</v>
      </c>
      <c r="BB56" s="27">
        <f t="shared" ref="BB56:BB84" si="28">$AT56*BA56</f>
        <v>6.4000000000000001E-2</v>
      </c>
      <c r="BF56" s="134">
        <v>1</v>
      </c>
      <c r="BG56" s="116" t="s">
        <v>151</v>
      </c>
      <c r="BH56" s="117">
        <v>8.0000000000000002E-3</v>
      </c>
      <c r="BI56" s="118">
        <f t="shared" ref="BI56:BI84" si="29">+BH56*BF54</f>
        <v>6.4000000000000001E-2</v>
      </c>
      <c r="BJ56" s="117">
        <v>8.0000000000000002E-3</v>
      </c>
      <c r="BK56" s="118">
        <f t="shared" ref="BK56:BK84" si="30">+BJ56*BF54</f>
        <v>6.4000000000000001E-2</v>
      </c>
      <c r="BL56" s="59"/>
      <c r="BM56" s="59"/>
    </row>
    <row r="57" spans="2:69" x14ac:dyDescent="0.2">
      <c r="B57"/>
      <c r="AN57" s="25"/>
      <c r="AO57" s="26"/>
      <c r="AP57" s="26" t="s">
        <v>152</v>
      </c>
      <c r="AQ57" s="26" t="s">
        <v>153</v>
      </c>
      <c r="AR57" s="26"/>
      <c r="AS57" s="26"/>
      <c r="AT57" s="26">
        <v>2</v>
      </c>
      <c r="AU57" s="52">
        <v>6.0000000000000001E-3</v>
      </c>
      <c r="AV57" s="27">
        <f t="shared" si="25"/>
        <v>1.2E-2</v>
      </c>
      <c r="AW57" s="52">
        <v>6.0000000000000001E-3</v>
      </c>
      <c r="AX57" s="28">
        <f t="shared" si="26"/>
        <v>1.2E-2</v>
      </c>
      <c r="AY57" s="52">
        <v>6.0000000000000001E-3</v>
      </c>
      <c r="AZ57" s="28">
        <f t="shared" si="27"/>
        <v>1.2E-2</v>
      </c>
      <c r="BA57" s="52">
        <v>6.1999999999999998E-3</v>
      </c>
      <c r="BB57" s="27">
        <f t="shared" si="28"/>
        <v>1.24E-2</v>
      </c>
      <c r="BF57" s="134">
        <v>1</v>
      </c>
      <c r="BG57" s="116" t="s">
        <v>151</v>
      </c>
      <c r="BH57" s="117">
        <v>6.1999999999999998E-3</v>
      </c>
      <c r="BI57" s="118">
        <f t="shared" si="29"/>
        <v>1.24E-2</v>
      </c>
      <c r="BJ57" s="117">
        <v>6.1999999999999998E-3</v>
      </c>
      <c r="BK57" s="118">
        <f t="shared" si="30"/>
        <v>1.24E-2</v>
      </c>
      <c r="BL57" s="59"/>
      <c r="BM57" s="59"/>
    </row>
    <row r="58" spans="2:69" x14ac:dyDescent="0.2">
      <c r="B58"/>
      <c r="AN58" s="25"/>
      <c r="AO58" s="26"/>
      <c r="AP58" s="26" t="s">
        <v>154</v>
      </c>
      <c r="AQ58" s="26" t="s">
        <v>155</v>
      </c>
      <c r="AR58" s="26"/>
      <c r="AS58" s="26"/>
      <c r="AT58" s="26">
        <v>1</v>
      </c>
      <c r="AU58" s="52">
        <v>5.4000000000000003E-3</v>
      </c>
      <c r="AV58" s="27">
        <f t="shared" si="25"/>
        <v>5.4000000000000003E-3</v>
      </c>
      <c r="AW58" s="52">
        <v>5.4000000000000003E-3</v>
      </c>
      <c r="AX58" s="28">
        <f t="shared" si="26"/>
        <v>5.4000000000000003E-3</v>
      </c>
      <c r="AY58" s="52">
        <v>5.4000000000000003E-3</v>
      </c>
      <c r="AZ58" s="28">
        <f t="shared" si="27"/>
        <v>5.4000000000000003E-3</v>
      </c>
      <c r="BA58" s="52">
        <v>6.3E-3</v>
      </c>
      <c r="BB58" s="27">
        <f t="shared" si="28"/>
        <v>6.3E-3</v>
      </c>
      <c r="BF58" s="134">
        <v>3</v>
      </c>
      <c r="BG58" s="116" t="s">
        <v>151</v>
      </c>
      <c r="BH58" s="117">
        <v>6.3E-3</v>
      </c>
      <c r="BI58" s="118">
        <f t="shared" si="29"/>
        <v>6.3E-3</v>
      </c>
      <c r="BJ58" s="117">
        <v>6.3E-3</v>
      </c>
      <c r="BK58" s="118">
        <f t="shared" si="30"/>
        <v>6.3E-3</v>
      </c>
      <c r="BL58" s="59"/>
      <c r="BM58" s="59"/>
    </row>
    <row r="59" spans="2:69" x14ac:dyDescent="0.2">
      <c r="B59"/>
      <c r="AN59" s="25"/>
      <c r="AO59" s="26"/>
      <c r="AP59" s="26" t="s">
        <v>156</v>
      </c>
      <c r="AQ59" s="26" t="s">
        <v>157</v>
      </c>
      <c r="AR59" s="26"/>
      <c r="AS59" s="26"/>
      <c r="AT59" s="26">
        <v>1</v>
      </c>
      <c r="AU59" s="52">
        <v>5.4000000000000003E-3</v>
      </c>
      <c r="AV59" s="27">
        <f t="shared" si="25"/>
        <v>5.4000000000000003E-3</v>
      </c>
      <c r="AW59" s="52">
        <v>5.4000000000000003E-3</v>
      </c>
      <c r="AX59" s="28">
        <f t="shared" si="26"/>
        <v>5.4000000000000003E-3</v>
      </c>
      <c r="AY59" s="52">
        <v>5.4000000000000003E-3</v>
      </c>
      <c r="AZ59" s="28">
        <f t="shared" si="27"/>
        <v>5.4000000000000003E-3</v>
      </c>
      <c r="BA59" s="52">
        <v>6.6E-3</v>
      </c>
      <c r="BB59" s="27">
        <f t="shared" si="28"/>
        <v>6.6E-3</v>
      </c>
      <c r="BF59" s="134">
        <v>1</v>
      </c>
      <c r="BG59" s="116" t="s">
        <v>151</v>
      </c>
      <c r="BH59" s="117">
        <v>6.6E-3</v>
      </c>
      <c r="BI59" s="118">
        <f t="shared" si="29"/>
        <v>6.6E-3</v>
      </c>
      <c r="BJ59" s="117">
        <v>6.6E-3</v>
      </c>
      <c r="BK59" s="118">
        <f t="shared" si="30"/>
        <v>6.6E-3</v>
      </c>
      <c r="BL59" s="59"/>
      <c r="BM59" s="59"/>
    </row>
    <row r="60" spans="2:69" x14ac:dyDescent="0.2">
      <c r="B60"/>
      <c r="AN60" s="25"/>
      <c r="AO60" s="26"/>
      <c r="AP60" s="26" t="s">
        <v>158</v>
      </c>
      <c r="AQ60" s="26" t="s">
        <v>159</v>
      </c>
      <c r="AR60" s="26"/>
      <c r="AS60" s="26"/>
      <c r="AT60" s="26">
        <v>3</v>
      </c>
      <c r="AU60" s="52">
        <v>5.7999999999999996E-3</v>
      </c>
      <c r="AV60" s="27">
        <f t="shared" si="25"/>
        <v>1.7399999999999999E-2</v>
      </c>
      <c r="AW60" s="52">
        <v>5.7999999999999996E-3</v>
      </c>
      <c r="AX60" s="28">
        <f t="shared" si="26"/>
        <v>1.7399999999999999E-2</v>
      </c>
      <c r="AY60" s="52">
        <v>5.7999999999999996E-3</v>
      </c>
      <c r="AZ60" s="28">
        <f t="shared" si="27"/>
        <v>1.7399999999999999E-2</v>
      </c>
      <c r="BA60" s="52">
        <v>8.3000000000000001E-3</v>
      </c>
      <c r="BB60" s="27">
        <f t="shared" si="28"/>
        <v>2.4899999999999999E-2</v>
      </c>
      <c r="BF60" s="134">
        <v>3</v>
      </c>
      <c r="BG60" s="116" t="s">
        <v>151</v>
      </c>
      <c r="BH60" s="117">
        <v>8.3000000000000001E-3</v>
      </c>
      <c r="BI60" s="118">
        <f t="shared" si="29"/>
        <v>2.4899999999999999E-2</v>
      </c>
      <c r="BJ60" s="117">
        <v>8.3000000000000001E-3</v>
      </c>
      <c r="BK60" s="118">
        <f t="shared" si="30"/>
        <v>2.4899999999999999E-2</v>
      </c>
      <c r="BL60" s="59"/>
      <c r="BM60" s="59"/>
    </row>
    <row r="61" spans="2:69" x14ac:dyDescent="0.2">
      <c r="B61"/>
      <c r="AN61" s="25"/>
      <c r="AO61" s="26"/>
      <c r="AP61" s="26" t="s">
        <v>160</v>
      </c>
      <c r="AQ61" s="26" t="s">
        <v>161</v>
      </c>
      <c r="AR61" s="26"/>
      <c r="AS61" s="26"/>
      <c r="AT61" s="26">
        <v>1</v>
      </c>
      <c r="AU61" s="52">
        <v>8.6E-3</v>
      </c>
      <c r="AV61" s="27">
        <f t="shared" si="25"/>
        <v>8.6E-3</v>
      </c>
      <c r="AW61" s="52">
        <v>8.6E-3</v>
      </c>
      <c r="AX61" s="28">
        <f t="shared" si="26"/>
        <v>8.6E-3</v>
      </c>
      <c r="AY61" s="52">
        <v>8.6E-3</v>
      </c>
      <c r="AZ61" s="28">
        <f t="shared" si="27"/>
        <v>8.6E-3</v>
      </c>
      <c r="BA61" s="52">
        <v>0.01</v>
      </c>
      <c r="BB61" s="27">
        <f t="shared" si="28"/>
        <v>0.01</v>
      </c>
      <c r="BF61" s="134">
        <v>1</v>
      </c>
      <c r="BG61" s="116" t="s">
        <v>162</v>
      </c>
      <c r="BH61" s="117">
        <v>0.01</v>
      </c>
      <c r="BI61" s="118">
        <f t="shared" si="29"/>
        <v>0.01</v>
      </c>
      <c r="BJ61" s="117">
        <v>0.01</v>
      </c>
      <c r="BK61" s="118">
        <f t="shared" si="30"/>
        <v>0.01</v>
      </c>
      <c r="BL61" s="59"/>
      <c r="BM61" s="59"/>
    </row>
    <row r="62" spans="2:69" x14ac:dyDescent="0.2">
      <c r="B62"/>
      <c r="AN62" s="25"/>
      <c r="AO62" s="26"/>
      <c r="AP62" s="26" t="s">
        <v>163</v>
      </c>
      <c r="AQ62" s="26" t="s">
        <v>164</v>
      </c>
      <c r="AR62" s="26"/>
      <c r="AS62" s="26"/>
      <c r="AT62" s="26">
        <v>3</v>
      </c>
      <c r="AU62" s="52">
        <v>1.47E-2</v>
      </c>
      <c r="AV62" s="27">
        <f t="shared" si="25"/>
        <v>4.41E-2</v>
      </c>
      <c r="AW62" s="52">
        <v>1.47E-2</v>
      </c>
      <c r="AX62" s="28">
        <f t="shared" si="26"/>
        <v>4.41E-2</v>
      </c>
      <c r="AY62" s="52">
        <v>1.47E-2</v>
      </c>
      <c r="AZ62" s="28">
        <f t="shared" si="27"/>
        <v>4.41E-2</v>
      </c>
      <c r="BA62" s="52">
        <v>1.77E-2</v>
      </c>
      <c r="BB62" s="27">
        <f t="shared" si="28"/>
        <v>5.3100000000000001E-2</v>
      </c>
      <c r="BF62" s="134">
        <v>2</v>
      </c>
      <c r="BG62" s="116" t="s">
        <v>151</v>
      </c>
      <c r="BH62" s="117">
        <v>1.77E-2</v>
      </c>
      <c r="BI62" s="118">
        <f t="shared" si="29"/>
        <v>5.3100000000000001E-2</v>
      </c>
      <c r="BJ62" s="117">
        <v>1.77E-2</v>
      </c>
      <c r="BK62" s="118">
        <f t="shared" si="30"/>
        <v>5.3100000000000001E-2</v>
      </c>
      <c r="BL62" s="59"/>
      <c r="BM62" s="59"/>
    </row>
    <row r="63" spans="2:69" x14ac:dyDescent="0.2">
      <c r="B63"/>
      <c r="AN63" s="25"/>
      <c r="AO63" s="26"/>
      <c r="AP63" s="26" t="s">
        <v>165</v>
      </c>
      <c r="AQ63" s="26" t="s">
        <v>166</v>
      </c>
      <c r="AR63" s="26"/>
      <c r="AS63" s="26"/>
      <c r="AT63" s="26">
        <v>1</v>
      </c>
      <c r="AU63" s="52">
        <v>0.15</v>
      </c>
      <c r="AV63" s="27">
        <f t="shared" si="25"/>
        <v>0.15</v>
      </c>
      <c r="AW63" s="52">
        <v>0.15</v>
      </c>
      <c r="AX63" s="28">
        <f t="shared" si="26"/>
        <v>0.15</v>
      </c>
      <c r="AY63" s="52">
        <v>0.15</v>
      </c>
      <c r="AZ63" s="28">
        <f t="shared" si="27"/>
        <v>0.15</v>
      </c>
      <c r="BA63" s="52">
        <v>0.16389999999999999</v>
      </c>
      <c r="BB63" s="27">
        <f t="shared" si="28"/>
        <v>0.16389999999999999</v>
      </c>
      <c r="BF63" s="134">
        <v>1</v>
      </c>
      <c r="BG63" s="116" t="s">
        <v>162</v>
      </c>
      <c r="BH63" s="117">
        <v>0.16389999999999999</v>
      </c>
      <c r="BI63" s="118">
        <f t="shared" si="29"/>
        <v>0.16389999999999999</v>
      </c>
      <c r="BJ63" s="117">
        <v>0.16389999999999999</v>
      </c>
      <c r="BK63" s="118">
        <f t="shared" si="30"/>
        <v>0.16389999999999999</v>
      </c>
      <c r="BL63" s="59"/>
      <c r="BM63" s="59"/>
    </row>
    <row r="64" spans="2:69" x14ac:dyDescent="0.2">
      <c r="B64"/>
      <c r="AN64" s="25" t="s">
        <v>167</v>
      </c>
      <c r="AO64" s="26"/>
      <c r="AP64" s="26" t="s">
        <v>168</v>
      </c>
      <c r="AQ64" s="26" t="s">
        <v>169</v>
      </c>
      <c r="AR64" s="26"/>
      <c r="AS64" s="26"/>
      <c r="AT64" s="26">
        <v>2</v>
      </c>
      <c r="AU64" s="52">
        <v>0.14000000000000001</v>
      </c>
      <c r="AV64" s="27">
        <f t="shared" si="25"/>
        <v>0.28000000000000003</v>
      </c>
      <c r="AW64" s="52">
        <v>0.14000000000000001</v>
      </c>
      <c r="AX64" s="28">
        <f t="shared" si="26"/>
        <v>0.28000000000000003</v>
      </c>
      <c r="AY64" s="52">
        <v>0.14000000000000001</v>
      </c>
      <c r="AZ64" s="28">
        <f t="shared" si="27"/>
        <v>0.28000000000000003</v>
      </c>
      <c r="BA64" s="52">
        <v>0.27500000000000002</v>
      </c>
      <c r="BB64" s="27">
        <f t="shared" si="28"/>
        <v>0.55000000000000004</v>
      </c>
      <c r="BF64" s="134">
        <v>26</v>
      </c>
      <c r="BG64" s="116" t="s">
        <v>162</v>
      </c>
      <c r="BH64" s="117">
        <v>0.27500000000000002</v>
      </c>
      <c r="BI64" s="118">
        <f t="shared" si="29"/>
        <v>0.55000000000000004</v>
      </c>
      <c r="BJ64" s="117">
        <v>0.27500000000000002</v>
      </c>
      <c r="BK64" s="118">
        <f t="shared" si="30"/>
        <v>0.55000000000000004</v>
      </c>
      <c r="BL64" s="59"/>
      <c r="BM64" s="59"/>
    </row>
    <row r="65" spans="2:65" x14ac:dyDescent="0.2">
      <c r="B65"/>
      <c r="AN65" s="25"/>
      <c r="AO65" s="26"/>
      <c r="AP65" s="26" t="s">
        <v>170</v>
      </c>
      <c r="AQ65" s="26" t="s">
        <v>171</v>
      </c>
      <c r="AR65" s="26"/>
      <c r="AS65" s="26"/>
      <c r="AT65" s="26">
        <v>1</v>
      </c>
      <c r="AU65" s="52">
        <v>3.2000000000000001E-2</v>
      </c>
      <c r="AV65" s="27">
        <f t="shared" si="25"/>
        <v>3.2000000000000001E-2</v>
      </c>
      <c r="AW65" s="52">
        <v>3.2000000000000001E-2</v>
      </c>
      <c r="AX65" s="28">
        <f t="shared" si="26"/>
        <v>3.2000000000000001E-2</v>
      </c>
      <c r="AY65" s="52">
        <v>3.2000000000000001E-2</v>
      </c>
      <c r="AZ65" s="28">
        <f t="shared" si="27"/>
        <v>3.2000000000000001E-2</v>
      </c>
      <c r="BA65" s="52">
        <v>0.36</v>
      </c>
      <c r="BB65" s="27">
        <f t="shared" si="28"/>
        <v>0.36</v>
      </c>
      <c r="BF65" s="134">
        <v>2</v>
      </c>
      <c r="BG65" s="116" t="s">
        <v>172</v>
      </c>
      <c r="BH65" s="117">
        <v>0.36</v>
      </c>
      <c r="BI65" s="118">
        <f t="shared" si="29"/>
        <v>0.36</v>
      </c>
      <c r="BJ65" s="117">
        <v>0.36</v>
      </c>
      <c r="BK65" s="118">
        <f t="shared" si="30"/>
        <v>0.36</v>
      </c>
      <c r="BL65" s="59"/>
      <c r="BM65" s="59"/>
    </row>
    <row r="66" spans="2:65" x14ac:dyDescent="0.2">
      <c r="B66"/>
      <c r="AN66" s="25"/>
      <c r="AO66" s="26"/>
      <c r="AP66" s="26" t="s">
        <v>173</v>
      </c>
      <c r="AQ66" s="26" t="s">
        <v>174</v>
      </c>
      <c r="AR66" s="26"/>
      <c r="AS66" s="26"/>
      <c r="AT66" s="26">
        <v>26</v>
      </c>
      <c r="AU66" s="52">
        <v>1.9E-3</v>
      </c>
      <c r="AV66" s="27">
        <f t="shared" si="25"/>
        <v>4.9399999999999999E-2</v>
      </c>
      <c r="AW66" s="52">
        <v>1.9E-3</v>
      </c>
      <c r="AX66" s="28">
        <f t="shared" si="26"/>
        <v>4.9399999999999999E-2</v>
      </c>
      <c r="AY66" s="52">
        <v>1.9E-3</v>
      </c>
      <c r="AZ66" s="28">
        <f t="shared" si="27"/>
        <v>4.9399999999999999E-2</v>
      </c>
      <c r="BA66" s="52">
        <v>3.3E-3</v>
      </c>
      <c r="BB66" s="27">
        <f t="shared" si="28"/>
        <v>8.5800000000000001E-2</v>
      </c>
      <c r="BF66" s="134">
        <v>6</v>
      </c>
      <c r="BG66" s="116" t="s">
        <v>175</v>
      </c>
      <c r="BH66" s="117">
        <v>3.3E-3</v>
      </c>
      <c r="BI66" s="118">
        <f t="shared" si="29"/>
        <v>8.5800000000000001E-2</v>
      </c>
      <c r="BJ66" s="117">
        <v>3.3E-3</v>
      </c>
      <c r="BK66" s="118">
        <f t="shared" si="30"/>
        <v>8.5800000000000001E-2</v>
      </c>
      <c r="BL66" s="59"/>
      <c r="BM66" s="59"/>
    </row>
    <row r="67" spans="2:65" x14ac:dyDescent="0.2">
      <c r="B67"/>
      <c r="AN67" s="25"/>
      <c r="AO67" s="26"/>
      <c r="AP67" s="26" t="s">
        <v>176</v>
      </c>
      <c r="AQ67" s="26" t="s">
        <v>177</v>
      </c>
      <c r="AR67" s="26"/>
      <c r="AS67" s="26"/>
      <c r="AT67" s="26">
        <v>2</v>
      </c>
      <c r="AU67" s="52">
        <v>3.3999999999999998E-3</v>
      </c>
      <c r="AV67" s="27">
        <f t="shared" si="25"/>
        <v>6.7999999999999996E-3</v>
      </c>
      <c r="AW67" s="52">
        <v>3.3999999999999998E-3</v>
      </c>
      <c r="AX67" s="28">
        <f t="shared" si="26"/>
        <v>6.7999999999999996E-3</v>
      </c>
      <c r="AY67" s="52">
        <v>3.3999999999999998E-3</v>
      </c>
      <c r="AZ67" s="28">
        <f t="shared" si="27"/>
        <v>6.7999999999999996E-3</v>
      </c>
      <c r="BA67" s="52">
        <v>5.3E-3</v>
      </c>
      <c r="BB67" s="27">
        <f t="shared" si="28"/>
        <v>1.06E-2</v>
      </c>
      <c r="BF67" s="134">
        <v>2</v>
      </c>
      <c r="BG67" s="116" t="s">
        <v>178</v>
      </c>
      <c r="BH67" s="117">
        <v>5.3E-3</v>
      </c>
      <c r="BI67" s="118">
        <f t="shared" si="29"/>
        <v>1.06E-2</v>
      </c>
      <c r="BJ67" s="117">
        <v>5.3E-3</v>
      </c>
      <c r="BK67" s="118">
        <f t="shared" si="30"/>
        <v>1.06E-2</v>
      </c>
      <c r="BL67" s="59"/>
      <c r="BM67" s="59"/>
    </row>
    <row r="68" spans="2:65" x14ac:dyDescent="0.2">
      <c r="B68"/>
      <c r="AN68" s="25"/>
      <c r="AO68" s="26"/>
      <c r="AP68" s="26" t="s">
        <v>179</v>
      </c>
      <c r="AQ68" s="26" t="s">
        <v>180</v>
      </c>
      <c r="AR68" s="26"/>
      <c r="AS68" s="26"/>
      <c r="AT68" s="26">
        <v>6</v>
      </c>
      <c r="AU68" s="52">
        <v>3.3999999999999998E-3</v>
      </c>
      <c r="AV68" s="27">
        <f t="shared" si="25"/>
        <v>2.0399999999999998E-2</v>
      </c>
      <c r="AW68" s="52">
        <v>3.3999999999999998E-3</v>
      </c>
      <c r="AX68" s="28">
        <f t="shared" si="26"/>
        <v>2.0399999999999998E-2</v>
      </c>
      <c r="AY68" s="52">
        <v>3.3999999999999998E-3</v>
      </c>
      <c r="AZ68" s="28">
        <f t="shared" si="27"/>
        <v>2.0399999999999998E-2</v>
      </c>
      <c r="BA68" s="52">
        <v>5.3E-3</v>
      </c>
      <c r="BB68" s="27">
        <f t="shared" si="28"/>
        <v>3.1800000000000002E-2</v>
      </c>
      <c r="BF68" s="134">
        <v>3</v>
      </c>
      <c r="BG68" s="116" t="s">
        <v>175</v>
      </c>
      <c r="BH68" s="117">
        <v>5.3E-3</v>
      </c>
      <c r="BI68" s="118">
        <f t="shared" si="29"/>
        <v>3.1800000000000002E-2</v>
      </c>
      <c r="BJ68" s="117">
        <v>5.3E-3</v>
      </c>
      <c r="BK68" s="118">
        <f t="shared" si="30"/>
        <v>3.1800000000000002E-2</v>
      </c>
      <c r="BL68" s="59"/>
      <c r="BM68" s="59"/>
    </row>
    <row r="69" spans="2:65" x14ac:dyDescent="0.2">
      <c r="B69"/>
      <c r="AN69" s="25"/>
      <c r="AO69" s="26"/>
      <c r="AP69" s="26" t="s">
        <v>181</v>
      </c>
      <c r="AQ69" s="26" t="s">
        <v>182</v>
      </c>
      <c r="AR69" s="26"/>
      <c r="AS69" s="26"/>
      <c r="AT69" s="26">
        <v>2</v>
      </c>
      <c r="AU69" s="52">
        <v>3.3999999999999998E-3</v>
      </c>
      <c r="AV69" s="27">
        <f t="shared" si="25"/>
        <v>6.7999999999999996E-3</v>
      </c>
      <c r="AW69" s="52">
        <v>3.3999999999999998E-3</v>
      </c>
      <c r="AX69" s="28">
        <f t="shared" si="26"/>
        <v>6.7999999999999996E-3</v>
      </c>
      <c r="AY69" s="52">
        <v>3.3999999999999998E-3</v>
      </c>
      <c r="AZ69" s="28">
        <f t="shared" si="27"/>
        <v>6.7999999999999996E-3</v>
      </c>
      <c r="BA69" s="52">
        <v>5.3E-3</v>
      </c>
      <c r="BB69" s="27">
        <f t="shared" si="28"/>
        <v>1.06E-2</v>
      </c>
      <c r="BF69" s="134">
        <v>3</v>
      </c>
      <c r="BG69" s="116" t="s">
        <v>178</v>
      </c>
      <c r="BH69" s="117">
        <v>5.3E-3</v>
      </c>
      <c r="BI69" s="118">
        <f t="shared" si="29"/>
        <v>1.06E-2</v>
      </c>
      <c r="BJ69" s="117">
        <v>5.3E-3</v>
      </c>
      <c r="BK69" s="118">
        <f t="shared" si="30"/>
        <v>1.06E-2</v>
      </c>
      <c r="BL69" s="59"/>
      <c r="BM69" s="59"/>
    </row>
    <row r="70" spans="2:65" x14ac:dyDescent="0.2">
      <c r="B70"/>
      <c r="AN70" s="25"/>
      <c r="AO70" s="26"/>
      <c r="AP70" s="26" t="s">
        <v>183</v>
      </c>
      <c r="AQ70" s="26" t="s">
        <v>184</v>
      </c>
      <c r="AR70" s="26"/>
      <c r="AS70" s="26"/>
      <c r="AT70" s="26">
        <v>3</v>
      </c>
      <c r="AU70" s="52">
        <v>3.3999999999999998E-3</v>
      </c>
      <c r="AV70" s="27">
        <f t="shared" si="25"/>
        <v>1.0199999999999999E-2</v>
      </c>
      <c r="AW70" s="52">
        <v>3.3999999999999998E-3</v>
      </c>
      <c r="AX70" s="28">
        <f t="shared" si="26"/>
        <v>1.0199999999999999E-2</v>
      </c>
      <c r="AY70" s="52">
        <v>3.3999999999999998E-3</v>
      </c>
      <c r="AZ70" s="28">
        <f t="shared" si="27"/>
        <v>1.0199999999999999E-2</v>
      </c>
      <c r="BA70" s="52">
        <v>5.3E-3</v>
      </c>
      <c r="BB70" s="27">
        <f t="shared" si="28"/>
        <v>1.5900000000000001E-2</v>
      </c>
      <c r="BF70" s="134">
        <v>30</v>
      </c>
      <c r="BG70" s="116" t="s">
        <v>175</v>
      </c>
      <c r="BH70" s="117">
        <v>5.3E-3</v>
      </c>
      <c r="BI70" s="118">
        <f t="shared" si="29"/>
        <v>1.5900000000000001E-2</v>
      </c>
      <c r="BJ70" s="117">
        <v>5.3E-3</v>
      </c>
      <c r="BK70" s="118">
        <f t="shared" si="30"/>
        <v>1.5900000000000001E-2</v>
      </c>
      <c r="BL70" s="59"/>
      <c r="BM70" s="59"/>
    </row>
    <row r="71" spans="2:65" x14ac:dyDescent="0.2">
      <c r="B71"/>
      <c r="AN71" s="25"/>
      <c r="AO71" s="26"/>
      <c r="AP71" s="26" t="s">
        <v>185</v>
      </c>
      <c r="AQ71" s="26" t="s">
        <v>186</v>
      </c>
      <c r="AR71" s="26"/>
      <c r="AS71" s="26"/>
      <c r="AT71" s="26">
        <v>3</v>
      </c>
      <c r="AU71" s="52">
        <v>3.3999999999999998E-3</v>
      </c>
      <c r="AV71" s="27">
        <f t="shared" si="25"/>
        <v>1.0199999999999999E-2</v>
      </c>
      <c r="AW71" s="52">
        <v>3.3999999999999998E-3</v>
      </c>
      <c r="AX71" s="28">
        <f t="shared" si="26"/>
        <v>1.0199999999999999E-2</v>
      </c>
      <c r="AY71" s="52">
        <v>3.3999999999999998E-3</v>
      </c>
      <c r="AZ71" s="28">
        <f t="shared" si="27"/>
        <v>1.0199999999999999E-2</v>
      </c>
      <c r="BA71" s="52">
        <v>4.7999999999999996E-3</v>
      </c>
      <c r="BB71" s="27">
        <f t="shared" si="28"/>
        <v>1.44E-2</v>
      </c>
      <c r="BF71" s="134">
        <v>1</v>
      </c>
      <c r="BG71" s="116" t="s">
        <v>187</v>
      </c>
      <c r="BH71" s="117">
        <v>4.7999999999999996E-3</v>
      </c>
      <c r="BI71" s="118">
        <f t="shared" si="29"/>
        <v>1.44E-2</v>
      </c>
      <c r="BJ71" s="117">
        <v>4.7999999999999996E-3</v>
      </c>
      <c r="BK71" s="118">
        <f t="shared" si="30"/>
        <v>1.44E-2</v>
      </c>
      <c r="BL71" s="59"/>
      <c r="BM71" s="59"/>
    </row>
    <row r="72" spans="2:65" x14ac:dyDescent="0.2">
      <c r="B72"/>
      <c r="AN72" s="25"/>
      <c r="AO72" s="26"/>
      <c r="AP72" s="26" t="s">
        <v>188</v>
      </c>
      <c r="AQ72" s="26" t="s">
        <v>189</v>
      </c>
      <c r="AR72" s="26"/>
      <c r="AS72" s="26"/>
      <c r="AT72" s="26">
        <v>30</v>
      </c>
      <c r="AU72" s="52">
        <v>3.3999999999999998E-3</v>
      </c>
      <c r="AV72" s="27">
        <f t="shared" si="25"/>
        <v>0.10199999999999999</v>
      </c>
      <c r="AW72" s="52">
        <v>3.3999999999999998E-3</v>
      </c>
      <c r="AX72" s="28">
        <f t="shared" si="26"/>
        <v>0.10199999999999999</v>
      </c>
      <c r="AY72" s="52">
        <v>3.3999999999999998E-3</v>
      </c>
      <c r="AZ72" s="28">
        <f t="shared" si="27"/>
        <v>0.10199999999999999</v>
      </c>
      <c r="BA72" s="52">
        <v>4.0000000000000001E-3</v>
      </c>
      <c r="BB72" s="27">
        <f t="shared" si="28"/>
        <v>0.12</v>
      </c>
      <c r="BF72" s="134">
        <v>22</v>
      </c>
      <c r="BG72" s="116" t="s">
        <v>175</v>
      </c>
      <c r="BH72" s="117">
        <v>4.0000000000000001E-3</v>
      </c>
      <c r="BI72" s="118">
        <f t="shared" si="29"/>
        <v>0.12</v>
      </c>
      <c r="BJ72" s="117">
        <v>4.0000000000000001E-3</v>
      </c>
      <c r="BK72" s="118">
        <f t="shared" si="30"/>
        <v>0.12</v>
      </c>
      <c r="BL72" s="59"/>
      <c r="BM72" s="59"/>
    </row>
    <row r="73" spans="2:65" x14ac:dyDescent="0.2">
      <c r="B73"/>
      <c r="AN73" s="25"/>
      <c r="AO73" s="26"/>
      <c r="AP73" s="26" t="s">
        <v>190</v>
      </c>
      <c r="AQ73" s="26" t="s">
        <v>191</v>
      </c>
      <c r="AR73" s="26"/>
      <c r="AS73" s="26"/>
      <c r="AT73" s="26">
        <v>1</v>
      </c>
      <c r="AU73" s="52">
        <v>3.3999999999999998E-3</v>
      </c>
      <c r="AV73" s="27">
        <f t="shared" si="25"/>
        <v>3.3999999999999998E-3</v>
      </c>
      <c r="AW73" s="52">
        <v>3.3999999999999998E-3</v>
      </c>
      <c r="AX73" s="28">
        <f t="shared" si="26"/>
        <v>3.3999999999999998E-3</v>
      </c>
      <c r="AY73" s="52">
        <v>3.3999999999999998E-3</v>
      </c>
      <c r="AZ73" s="28">
        <f t="shared" si="27"/>
        <v>3.3999999999999998E-3</v>
      </c>
      <c r="BA73" s="52">
        <v>4.7999999999999996E-3</v>
      </c>
      <c r="BB73" s="27">
        <f t="shared" si="28"/>
        <v>4.7999999999999996E-3</v>
      </c>
      <c r="BF73" s="134">
        <v>1</v>
      </c>
      <c r="BG73" s="116" t="s">
        <v>178</v>
      </c>
      <c r="BH73" s="117">
        <v>4.7999999999999996E-3</v>
      </c>
      <c r="BI73" s="118">
        <f t="shared" si="29"/>
        <v>4.7999999999999996E-3</v>
      </c>
      <c r="BJ73" s="117">
        <v>4.7999999999999996E-3</v>
      </c>
      <c r="BK73" s="118">
        <f t="shared" si="30"/>
        <v>4.7999999999999996E-3</v>
      </c>
      <c r="BL73" s="59"/>
      <c r="BM73" s="59"/>
    </row>
    <row r="74" spans="2:65" x14ac:dyDescent="0.2">
      <c r="B74"/>
      <c r="AN74" s="25"/>
      <c r="AO74" s="26"/>
      <c r="AP74" s="26" t="s">
        <v>192</v>
      </c>
      <c r="AQ74" s="26" t="s">
        <v>193</v>
      </c>
      <c r="AR74" s="26"/>
      <c r="AS74" s="26"/>
      <c r="AT74" s="26">
        <v>22</v>
      </c>
      <c r="AU74" s="52">
        <v>3.3999999999999998E-3</v>
      </c>
      <c r="AV74" s="27">
        <f t="shared" si="25"/>
        <v>7.4799999999999991E-2</v>
      </c>
      <c r="AW74" s="52">
        <v>3.3999999999999998E-3</v>
      </c>
      <c r="AX74" s="28">
        <f t="shared" si="26"/>
        <v>7.4799999999999991E-2</v>
      </c>
      <c r="AY74" s="52">
        <v>3.3999999999999998E-3</v>
      </c>
      <c r="AZ74" s="28">
        <f t="shared" si="27"/>
        <v>7.4799999999999991E-2</v>
      </c>
      <c r="BA74" s="52">
        <v>5.0000000000000001E-3</v>
      </c>
      <c r="BB74" s="27">
        <f t="shared" si="28"/>
        <v>0.11</v>
      </c>
      <c r="BF74" s="134">
        <v>1</v>
      </c>
      <c r="BG74" s="116" t="s">
        <v>175</v>
      </c>
      <c r="BH74" s="117">
        <v>5.0000000000000001E-3</v>
      </c>
      <c r="BI74" s="118">
        <f t="shared" si="29"/>
        <v>0.11</v>
      </c>
      <c r="BJ74" s="117">
        <v>5.0000000000000001E-3</v>
      </c>
      <c r="BK74" s="118">
        <f t="shared" si="30"/>
        <v>0.11</v>
      </c>
      <c r="BL74" s="59"/>
      <c r="BM74" s="59"/>
    </row>
    <row r="75" spans="2:65" x14ac:dyDescent="0.2">
      <c r="B75"/>
      <c r="AN75" s="25"/>
      <c r="AO75" s="26"/>
      <c r="AP75" s="26" t="s">
        <v>194</v>
      </c>
      <c r="AQ75" s="26" t="s">
        <v>195</v>
      </c>
      <c r="AR75" s="26"/>
      <c r="AS75" s="26"/>
      <c r="AT75" s="26">
        <v>1</v>
      </c>
      <c r="AU75" s="52">
        <v>3.3999999999999998E-3</v>
      </c>
      <c r="AV75" s="27">
        <f t="shared" si="25"/>
        <v>3.3999999999999998E-3</v>
      </c>
      <c r="AW75" s="52">
        <v>3.3999999999999998E-3</v>
      </c>
      <c r="AX75" s="28">
        <f t="shared" si="26"/>
        <v>3.3999999999999998E-3</v>
      </c>
      <c r="AY75" s="52">
        <v>3.3999999999999998E-3</v>
      </c>
      <c r="AZ75" s="28">
        <f t="shared" si="27"/>
        <v>3.3999999999999998E-3</v>
      </c>
      <c r="BA75" s="52">
        <v>5.3E-3</v>
      </c>
      <c r="BB75" s="27">
        <f t="shared" si="28"/>
        <v>5.3E-3</v>
      </c>
      <c r="BF75" s="134">
        <v>3</v>
      </c>
      <c r="BG75" s="116" t="s">
        <v>175</v>
      </c>
      <c r="BH75" s="117">
        <v>5.3E-3</v>
      </c>
      <c r="BI75" s="118">
        <f t="shared" si="29"/>
        <v>5.3E-3</v>
      </c>
      <c r="BJ75" s="117">
        <v>5.3E-3</v>
      </c>
      <c r="BK75" s="118">
        <f t="shared" si="30"/>
        <v>5.3E-3</v>
      </c>
      <c r="BL75" s="59"/>
      <c r="BM75" s="59"/>
    </row>
    <row r="76" spans="2:65" x14ac:dyDescent="0.2">
      <c r="B76"/>
      <c r="AN76" s="25"/>
      <c r="AO76" s="26"/>
      <c r="AP76" s="26" t="s">
        <v>196</v>
      </c>
      <c r="AQ76" s="26" t="s">
        <v>197</v>
      </c>
      <c r="AR76" s="26"/>
      <c r="AS76" s="26"/>
      <c r="AT76" s="26">
        <v>1</v>
      </c>
      <c r="AU76" s="52">
        <v>3.5000000000000001E-3</v>
      </c>
      <c r="AV76" s="27">
        <f t="shared" si="25"/>
        <v>3.5000000000000001E-3</v>
      </c>
      <c r="AW76" s="52">
        <v>3.5000000000000001E-3</v>
      </c>
      <c r="AX76" s="28">
        <f t="shared" si="26"/>
        <v>3.5000000000000001E-3</v>
      </c>
      <c r="AY76" s="52">
        <v>3.5000000000000001E-3</v>
      </c>
      <c r="AZ76" s="28">
        <f t="shared" si="27"/>
        <v>3.5000000000000001E-3</v>
      </c>
      <c r="BA76" s="52">
        <v>5.3E-3</v>
      </c>
      <c r="BB76" s="27">
        <f t="shared" si="28"/>
        <v>5.3E-3</v>
      </c>
      <c r="BF76" s="134">
        <v>1</v>
      </c>
      <c r="BG76" s="116" t="s">
        <v>175</v>
      </c>
      <c r="BH76" s="117">
        <v>5.3E-3</v>
      </c>
      <c r="BI76" s="118">
        <f t="shared" si="29"/>
        <v>5.3E-3</v>
      </c>
      <c r="BJ76" s="117">
        <v>5.3E-3</v>
      </c>
      <c r="BK76" s="118">
        <f t="shared" si="30"/>
        <v>5.3E-3</v>
      </c>
      <c r="BL76" s="59"/>
      <c r="BM76" s="59"/>
    </row>
    <row r="77" spans="2:65" x14ac:dyDescent="0.2">
      <c r="B77"/>
      <c r="AN77" s="25"/>
      <c r="AO77" s="26"/>
      <c r="AP77" s="26" t="s">
        <v>198</v>
      </c>
      <c r="AQ77" s="26" t="s">
        <v>199</v>
      </c>
      <c r="AR77" s="26"/>
      <c r="AS77" s="26"/>
      <c r="AT77" s="26">
        <v>3</v>
      </c>
      <c r="AU77" s="52">
        <v>3.3999999999999998E-3</v>
      </c>
      <c r="AV77" s="27">
        <f t="shared" si="25"/>
        <v>1.0199999999999999E-2</v>
      </c>
      <c r="AW77" s="52">
        <v>3.3999999999999998E-3</v>
      </c>
      <c r="AX77" s="28">
        <f t="shared" si="26"/>
        <v>1.0199999999999999E-2</v>
      </c>
      <c r="AY77" s="52">
        <v>3.3999999999999998E-3</v>
      </c>
      <c r="AZ77" s="28">
        <f t="shared" si="27"/>
        <v>1.0199999999999999E-2</v>
      </c>
      <c r="BA77" s="52">
        <v>5.4999999999999997E-3</v>
      </c>
      <c r="BB77" s="27">
        <f t="shared" si="28"/>
        <v>1.6500000000000001E-2</v>
      </c>
      <c r="BF77" s="134">
        <v>1</v>
      </c>
      <c r="BG77" s="116" t="s">
        <v>187</v>
      </c>
      <c r="BH77" s="117">
        <v>5.4999999999999997E-3</v>
      </c>
      <c r="BI77" s="118">
        <f t="shared" si="29"/>
        <v>1.6500000000000001E-2</v>
      </c>
      <c r="BJ77" s="117">
        <v>5.4999999999999997E-3</v>
      </c>
      <c r="BK77" s="118">
        <f t="shared" si="30"/>
        <v>1.6500000000000001E-2</v>
      </c>
      <c r="BL77" s="59"/>
      <c r="BM77" s="59"/>
    </row>
    <row r="78" spans="2:65" x14ac:dyDescent="0.2">
      <c r="B78"/>
      <c r="AN78" s="25"/>
      <c r="AO78" s="26"/>
      <c r="AP78" s="26" t="s">
        <v>200</v>
      </c>
      <c r="AQ78" s="26" t="s">
        <v>201</v>
      </c>
      <c r="AR78" s="26"/>
      <c r="AS78" s="26"/>
      <c r="AT78" s="26">
        <v>1</v>
      </c>
      <c r="AU78" s="52">
        <v>3.3999999999999998E-3</v>
      </c>
      <c r="AV78" s="27">
        <f t="shared" si="25"/>
        <v>3.3999999999999998E-3</v>
      </c>
      <c r="AW78" s="52">
        <v>3.3999999999999998E-3</v>
      </c>
      <c r="AX78" s="28">
        <f t="shared" si="26"/>
        <v>3.3999999999999998E-3</v>
      </c>
      <c r="AY78" s="52">
        <v>3.3999999999999998E-3</v>
      </c>
      <c r="AZ78" s="28">
        <f t="shared" si="27"/>
        <v>3.3999999999999998E-3</v>
      </c>
      <c r="BA78" s="52">
        <v>4.7999999999999996E-3</v>
      </c>
      <c r="BB78" s="27">
        <f t="shared" si="28"/>
        <v>4.7999999999999996E-3</v>
      </c>
      <c r="BF78" s="134">
        <v>1</v>
      </c>
      <c r="BG78" s="116" t="s">
        <v>178</v>
      </c>
      <c r="BH78" s="117">
        <v>4.7999999999999996E-3</v>
      </c>
      <c r="BI78" s="118">
        <f t="shared" si="29"/>
        <v>4.7999999999999996E-3</v>
      </c>
      <c r="BJ78" s="117">
        <v>4.7999999999999996E-3</v>
      </c>
      <c r="BK78" s="118">
        <f t="shared" si="30"/>
        <v>4.7999999999999996E-3</v>
      </c>
      <c r="BL78" s="59"/>
      <c r="BM78" s="59"/>
    </row>
    <row r="79" spans="2:65" x14ac:dyDescent="0.2">
      <c r="B79"/>
      <c r="AN79" s="25"/>
      <c r="AO79" s="26"/>
      <c r="AP79" s="26" t="s">
        <v>202</v>
      </c>
      <c r="AQ79" s="26" t="s">
        <v>203</v>
      </c>
      <c r="AR79" s="26"/>
      <c r="AS79" s="26"/>
      <c r="AT79" s="26">
        <v>1</v>
      </c>
      <c r="AU79" s="52">
        <v>0.26</v>
      </c>
      <c r="AV79" s="27">
        <f t="shared" si="25"/>
        <v>0.26</v>
      </c>
      <c r="AW79" s="52">
        <v>0.26</v>
      </c>
      <c r="AX79" s="28">
        <f t="shared" si="26"/>
        <v>0.26</v>
      </c>
      <c r="AY79" s="52">
        <v>0.26</v>
      </c>
      <c r="AZ79" s="28">
        <f t="shared" si="27"/>
        <v>0.26</v>
      </c>
      <c r="BA79" s="52">
        <v>0.65</v>
      </c>
      <c r="BB79" s="27">
        <f t="shared" si="28"/>
        <v>0.65</v>
      </c>
      <c r="BF79" s="134">
        <v>1</v>
      </c>
      <c r="BG79" s="116" t="s">
        <v>204</v>
      </c>
      <c r="BH79" s="117">
        <v>0.65</v>
      </c>
      <c r="BI79" s="118">
        <f t="shared" si="29"/>
        <v>0.65</v>
      </c>
      <c r="BJ79" s="117">
        <v>0.65</v>
      </c>
      <c r="BK79" s="118">
        <f t="shared" si="30"/>
        <v>0.65</v>
      </c>
      <c r="BL79" s="59"/>
      <c r="BM79" s="59"/>
    </row>
    <row r="80" spans="2:65" x14ac:dyDescent="0.2">
      <c r="B80"/>
      <c r="AN80" s="25"/>
      <c r="AO80" s="26"/>
      <c r="AP80" s="26" t="s">
        <v>205</v>
      </c>
      <c r="AQ80" s="26" t="s">
        <v>206</v>
      </c>
      <c r="AR80" s="26"/>
      <c r="AS80" s="26"/>
      <c r="AT80" s="26">
        <v>1</v>
      </c>
      <c r="AU80" s="52">
        <v>0.184</v>
      </c>
      <c r="AV80" s="27">
        <f t="shared" si="25"/>
        <v>0.184</v>
      </c>
      <c r="AW80" s="52">
        <v>0.184</v>
      </c>
      <c r="AX80" s="28">
        <f t="shared" si="26"/>
        <v>0.184</v>
      </c>
      <c r="AY80" s="52">
        <v>0.184</v>
      </c>
      <c r="AZ80" s="28">
        <f t="shared" si="27"/>
        <v>0.184</v>
      </c>
      <c r="BA80" s="52">
        <v>0.11</v>
      </c>
      <c r="BB80" s="27">
        <f t="shared" si="28"/>
        <v>0.11</v>
      </c>
      <c r="BF80" s="134">
        <v>1</v>
      </c>
      <c r="BG80" s="116" t="s">
        <v>207</v>
      </c>
      <c r="BH80" s="117">
        <v>0.11</v>
      </c>
      <c r="BI80" s="118">
        <f t="shared" si="29"/>
        <v>0.11</v>
      </c>
      <c r="BJ80" s="117">
        <v>0.11</v>
      </c>
      <c r="BK80" s="118">
        <f t="shared" si="30"/>
        <v>0.11</v>
      </c>
      <c r="BL80" s="59"/>
      <c r="BM80" s="59"/>
    </row>
    <row r="81" spans="2:65" x14ac:dyDescent="0.2">
      <c r="B81"/>
      <c r="AN81" s="25"/>
      <c r="AO81" s="26"/>
      <c r="AP81" s="26" t="s">
        <v>208</v>
      </c>
      <c r="AQ81" s="26" t="s">
        <v>209</v>
      </c>
      <c r="AR81" s="26"/>
      <c r="AS81" s="26"/>
      <c r="AT81" s="26">
        <v>1</v>
      </c>
      <c r="AU81" s="52">
        <v>0.22</v>
      </c>
      <c r="AV81" s="27">
        <f t="shared" si="25"/>
        <v>0.22</v>
      </c>
      <c r="AW81" s="52">
        <v>0.22</v>
      </c>
      <c r="AX81" s="28">
        <f t="shared" si="26"/>
        <v>0.22</v>
      </c>
      <c r="AY81" s="52">
        <v>0.22</v>
      </c>
      <c r="AZ81" s="28">
        <f t="shared" si="27"/>
        <v>0.22</v>
      </c>
      <c r="BA81" s="52">
        <v>0.2</v>
      </c>
      <c r="BB81" s="27">
        <f t="shared" si="28"/>
        <v>0.2</v>
      </c>
      <c r="BF81" s="134">
        <v>1</v>
      </c>
      <c r="BG81" s="116" t="s">
        <v>204</v>
      </c>
      <c r="BH81" s="117">
        <v>0.2</v>
      </c>
      <c r="BI81" s="118">
        <f t="shared" si="29"/>
        <v>0.2</v>
      </c>
      <c r="BJ81" s="117">
        <v>0.2</v>
      </c>
      <c r="BK81" s="118">
        <f t="shared" si="30"/>
        <v>0.2</v>
      </c>
      <c r="BL81" s="59"/>
      <c r="BM81" s="59"/>
    </row>
    <row r="82" spans="2:65" x14ac:dyDescent="0.2">
      <c r="B82"/>
      <c r="AN82" s="25"/>
      <c r="AO82" s="26"/>
      <c r="AP82" s="26" t="s">
        <v>210</v>
      </c>
      <c r="AQ82" s="26" t="s">
        <v>206</v>
      </c>
      <c r="AR82" s="26"/>
      <c r="AS82" s="26"/>
      <c r="AT82" s="26">
        <v>1</v>
      </c>
      <c r="AU82" s="52">
        <v>1.36</v>
      </c>
      <c r="AV82" s="27">
        <f t="shared" si="25"/>
        <v>1.36</v>
      </c>
      <c r="AW82" s="52">
        <v>0.4</v>
      </c>
      <c r="AX82" s="28">
        <f t="shared" si="26"/>
        <v>0.4</v>
      </c>
      <c r="AY82" s="52">
        <v>0.4</v>
      </c>
      <c r="AZ82" s="28">
        <f t="shared" si="27"/>
        <v>0.4</v>
      </c>
      <c r="BA82" s="52">
        <v>0.3</v>
      </c>
      <c r="BB82" s="27">
        <f t="shared" si="28"/>
        <v>0.3</v>
      </c>
      <c r="BF82" s="134">
        <v>1</v>
      </c>
      <c r="BG82" s="116" t="s">
        <v>211</v>
      </c>
      <c r="BH82" s="117">
        <v>0.3</v>
      </c>
      <c r="BI82" s="118">
        <f t="shared" si="29"/>
        <v>0.3</v>
      </c>
      <c r="BJ82" s="117">
        <v>0.3</v>
      </c>
      <c r="BK82" s="118">
        <f t="shared" si="30"/>
        <v>0.3</v>
      </c>
      <c r="BL82" s="59"/>
      <c r="BM82" s="59">
        <f>+AV82-BB82</f>
        <v>1.06</v>
      </c>
    </row>
    <row r="83" spans="2:65" x14ac:dyDescent="0.2">
      <c r="B83"/>
      <c r="AN83" s="25"/>
      <c r="AO83" s="26"/>
      <c r="AP83" s="168" t="s">
        <v>212</v>
      </c>
      <c r="AQ83" s="168" t="s">
        <v>213</v>
      </c>
      <c r="AR83" s="168"/>
      <c r="AS83" s="168"/>
      <c r="AT83" s="168">
        <v>1</v>
      </c>
      <c r="AU83" s="175">
        <v>0.87</v>
      </c>
      <c r="AV83" s="169">
        <f t="shared" si="25"/>
        <v>0.87</v>
      </c>
      <c r="AW83" s="175">
        <v>0.87</v>
      </c>
      <c r="AX83" s="170">
        <f t="shared" si="26"/>
        <v>0.87</v>
      </c>
      <c r="AY83" s="175">
        <v>0.87</v>
      </c>
      <c r="AZ83" s="170">
        <f t="shared" si="27"/>
        <v>0.87</v>
      </c>
      <c r="BA83" s="175">
        <v>0.75</v>
      </c>
      <c r="BB83" s="169">
        <f t="shared" si="28"/>
        <v>0.75</v>
      </c>
      <c r="BF83" s="134">
        <v>1</v>
      </c>
      <c r="BG83" s="116" t="s">
        <v>214</v>
      </c>
      <c r="BH83" s="117">
        <v>0.8</v>
      </c>
      <c r="BI83" s="118">
        <f t="shared" si="29"/>
        <v>0.8</v>
      </c>
      <c r="BJ83" s="117">
        <v>0.8</v>
      </c>
      <c r="BK83" s="118">
        <f t="shared" si="30"/>
        <v>0.8</v>
      </c>
      <c r="BL83" s="59"/>
      <c r="BM83" s="59"/>
    </row>
    <row r="84" spans="2:65" x14ac:dyDescent="0.2">
      <c r="B84"/>
      <c r="AN84" s="25" t="s">
        <v>167</v>
      </c>
      <c r="AO84" s="26"/>
      <c r="AP84" s="168" t="s">
        <v>215</v>
      </c>
      <c r="AQ84" s="168" t="s">
        <v>216</v>
      </c>
      <c r="AR84" s="168"/>
      <c r="AS84" s="168"/>
      <c r="AT84" s="168">
        <v>1</v>
      </c>
      <c r="AU84" s="175">
        <v>3.21</v>
      </c>
      <c r="AV84" s="169">
        <f t="shared" si="25"/>
        <v>3.21</v>
      </c>
      <c r="AW84" s="175">
        <v>3.21</v>
      </c>
      <c r="AX84" s="170">
        <f t="shared" si="26"/>
        <v>3.21</v>
      </c>
      <c r="AY84" s="175">
        <v>3.21</v>
      </c>
      <c r="AZ84" s="170">
        <f t="shared" si="27"/>
        <v>3.21</v>
      </c>
      <c r="BA84" s="175">
        <v>3</v>
      </c>
      <c r="BB84" s="169">
        <f t="shared" si="28"/>
        <v>3</v>
      </c>
      <c r="BF84" s="135">
        <v>1</v>
      </c>
      <c r="BG84" s="116" t="s">
        <v>217</v>
      </c>
      <c r="BH84" s="117">
        <v>2.6057999999999999</v>
      </c>
      <c r="BI84" s="118">
        <f t="shared" si="29"/>
        <v>2.6057999999999999</v>
      </c>
      <c r="BJ84" s="117">
        <v>2.6057999999999999</v>
      </c>
      <c r="BK84" s="118">
        <f t="shared" si="30"/>
        <v>2.6057999999999999</v>
      </c>
      <c r="BL84" s="59"/>
      <c r="BM84" s="59"/>
    </row>
    <row r="85" spans="2:65" x14ac:dyDescent="0.2">
      <c r="B85"/>
      <c r="AN85" s="25"/>
      <c r="AO85" s="26"/>
      <c r="AP85" s="26" t="s">
        <v>218</v>
      </c>
      <c r="AQ85" s="26" t="s">
        <v>219</v>
      </c>
      <c r="AR85" s="26"/>
      <c r="AS85" s="26"/>
      <c r="AT85" s="26">
        <v>1</v>
      </c>
      <c r="AU85" s="52"/>
      <c r="AV85" s="27">
        <f>$AT86*AU86</f>
        <v>1</v>
      </c>
      <c r="AW85" s="52"/>
      <c r="AX85" s="28">
        <f>$AT86*AW86</f>
        <v>1</v>
      </c>
      <c r="AY85" s="52"/>
      <c r="AZ85" s="28">
        <f>$AT86*AY86</f>
        <v>1</v>
      </c>
      <c r="BA85" s="52"/>
      <c r="BB85" s="27">
        <f>$AT86*BA86</f>
        <v>1.53</v>
      </c>
      <c r="BF85" s="134">
        <v>1</v>
      </c>
      <c r="BG85" s="116" t="s">
        <v>167</v>
      </c>
      <c r="BH85" s="117"/>
      <c r="BI85" s="118">
        <f>+BH86</f>
        <v>1.53</v>
      </c>
      <c r="BJ85" s="117"/>
      <c r="BK85" s="118">
        <f>+BJ86</f>
        <v>1.53</v>
      </c>
      <c r="BL85" s="59"/>
      <c r="BM85" s="59"/>
    </row>
    <row r="86" spans="2:65" x14ac:dyDescent="0.2">
      <c r="B86"/>
      <c r="AN86" s="47"/>
      <c r="AO86" s="48"/>
      <c r="AP86" s="48" t="s">
        <v>220</v>
      </c>
      <c r="AQ86" s="48" t="s">
        <v>221</v>
      </c>
      <c r="AR86" s="48"/>
      <c r="AS86" s="48"/>
      <c r="AT86" s="48">
        <v>1</v>
      </c>
      <c r="AU86" s="53">
        <v>1</v>
      </c>
      <c r="AV86" s="49"/>
      <c r="AW86" s="53">
        <v>1</v>
      </c>
      <c r="AX86" s="50"/>
      <c r="AY86" s="53">
        <v>1</v>
      </c>
      <c r="AZ86" s="50"/>
      <c r="BA86" s="53">
        <v>1.53</v>
      </c>
      <c r="BB86" s="49"/>
      <c r="BF86" s="134">
        <v>1</v>
      </c>
      <c r="BG86" s="119" t="s">
        <v>222</v>
      </c>
      <c r="BH86" s="120">
        <v>1.53</v>
      </c>
      <c r="BI86" s="121"/>
      <c r="BJ86" s="120">
        <v>1.53</v>
      </c>
      <c r="BK86" s="121"/>
      <c r="BL86" s="59"/>
      <c r="BM86" s="59"/>
    </row>
    <row r="87" spans="2:65" x14ac:dyDescent="0.2">
      <c r="B87"/>
      <c r="AN87" s="25"/>
      <c r="AO87" s="26"/>
      <c r="AP87" s="26" t="s">
        <v>223</v>
      </c>
      <c r="AQ87" s="26" t="s">
        <v>224</v>
      </c>
      <c r="AR87" s="26"/>
      <c r="AS87" s="26"/>
      <c r="AT87" s="26">
        <v>1</v>
      </c>
      <c r="AU87" s="52">
        <v>0.158</v>
      </c>
      <c r="AV87" s="27">
        <f t="shared" ref="AV87:AV105" si="31">$AT87*AU87</f>
        <v>0.158</v>
      </c>
      <c r="AW87" s="52">
        <v>0.158</v>
      </c>
      <c r="AX87" s="28">
        <f t="shared" ref="AX87:AX105" si="32">$AT87*AW87</f>
        <v>0.158</v>
      </c>
      <c r="AY87" s="52">
        <v>0.158</v>
      </c>
      <c r="AZ87" s="28">
        <f t="shared" ref="AZ87:AZ105" si="33">$AT87*AY87</f>
        <v>0.158</v>
      </c>
      <c r="BA87" s="52">
        <v>0.19</v>
      </c>
      <c r="BB87" s="27">
        <f t="shared" ref="BB87:BB103" si="34">$AT87*BA87</f>
        <v>0.19</v>
      </c>
      <c r="BF87" s="134">
        <v>1</v>
      </c>
      <c r="BG87" s="116" t="s">
        <v>225</v>
      </c>
      <c r="BH87" s="117">
        <v>0.19</v>
      </c>
      <c r="BI87" s="118">
        <f t="shared" ref="BI87:BI103" si="35">+BH87*BF85</f>
        <v>0.19</v>
      </c>
      <c r="BJ87" s="117">
        <v>0.19</v>
      </c>
      <c r="BK87" s="118">
        <f t="shared" ref="BK87:BK103" si="36">+BJ87*BF85</f>
        <v>0.19</v>
      </c>
      <c r="BL87" s="59"/>
      <c r="BM87" s="59"/>
    </row>
    <row r="88" spans="2:65" x14ac:dyDescent="0.2">
      <c r="B88"/>
      <c r="AN88" s="25"/>
      <c r="AO88" s="26"/>
      <c r="AP88" s="168" t="s">
        <v>226</v>
      </c>
      <c r="AQ88" s="168" t="s">
        <v>227</v>
      </c>
      <c r="AR88" s="168"/>
      <c r="AS88" s="168"/>
      <c r="AT88" s="168">
        <v>1</v>
      </c>
      <c r="AU88" s="175">
        <v>3.37</v>
      </c>
      <c r="AV88" s="169">
        <f t="shared" si="31"/>
        <v>3.37</v>
      </c>
      <c r="AW88" s="175">
        <v>3.37</v>
      </c>
      <c r="AX88" s="170">
        <f t="shared" si="32"/>
        <v>3.37</v>
      </c>
      <c r="AY88" s="175">
        <v>3.37</v>
      </c>
      <c r="AZ88" s="170">
        <f t="shared" si="33"/>
        <v>3.37</v>
      </c>
      <c r="BA88" s="175">
        <v>2.1265999999999998</v>
      </c>
      <c r="BB88" s="169">
        <f t="shared" si="34"/>
        <v>2.1265999999999998</v>
      </c>
      <c r="BF88" s="134">
        <v>1</v>
      </c>
      <c r="BG88" s="116" t="s">
        <v>228</v>
      </c>
      <c r="BH88" s="117">
        <v>2.1265999999999998</v>
      </c>
      <c r="BI88" s="118">
        <f t="shared" si="35"/>
        <v>2.1265999999999998</v>
      </c>
      <c r="BJ88" s="117">
        <v>2.1265999999999998</v>
      </c>
      <c r="BK88" s="118">
        <f t="shared" si="36"/>
        <v>2.1265999999999998</v>
      </c>
      <c r="BL88" s="59"/>
      <c r="BM88" s="59"/>
    </row>
    <row r="89" spans="2:65" x14ac:dyDescent="0.2">
      <c r="B89"/>
      <c r="AN89" s="25"/>
      <c r="AO89" s="26"/>
      <c r="AP89" s="168" t="s">
        <v>229</v>
      </c>
      <c r="AQ89" s="168" t="s">
        <v>230</v>
      </c>
      <c r="AR89" s="168"/>
      <c r="AS89" s="168"/>
      <c r="AT89" s="168">
        <v>1</v>
      </c>
      <c r="AU89" s="175">
        <v>11.81</v>
      </c>
      <c r="AV89" s="169">
        <f t="shared" si="31"/>
        <v>11.81</v>
      </c>
      <c r="AW89" s="175">
        <v>11.81</v>
      </c>
      <c r="AX89" s="170">
        <f t="shared" si="32"/>
        <v>11.81</v>
      </c>
      <c r="AY89" s="175">
        <v>11.81</v>
      </c>
      <c r="AZ89" s="170">
        <f t="shared" si="33"/>
        <v>11.81</v>
      </c>
      <c r="BA89" s="175">
        <v>9.2100000000000009</v>
      </c>
      <c r="BB89" s="169">
        <f t="shared" si="34"/>
        <v>9.2100000000000009</v>
      </c>
      <c r="BF89" s="134">
        <v>1</v>
      </c>
      <c r="BG89" s="116" t="s">
        <v>231</v>
      </c>
      <c r="BH89" s="117">
        <v>9.2100000000000009</v>
      </c>
      <c r="BI89" s="118">
        <f t="shared" si="35"/>
        <v>9.2100000000000009</v>
      </c>
      <c r="BJ89" s="117">
        <v>9.2100000000000009</v>
      </c>
      <c r="BK89" s="118">
        <f t="shared" si="36"/>
        <v>9.2100000000000009</v>
      </c>
      <c r="BL89" s="59"/>
      <c r="BM89" s="59"/>
    </row>
    <row r="90" spans="2:65" x14ac:dyDescent="0.2">
      <c r="B90"/>
      <c r="AN90" s="25"/>
      <c r="AO90" s="26"/>
      <c r="AP90" s="26" t="s">
        <v>232</v>
      </c>
      <c r="AQ90" s="26" t="s">
        <v>233</v>
      </c>
      <c r="AR90" s="26"/>
      <c r="AS90" s="26"/>
      <c r="AT90" s="26">
        <v>1</v>
      </c>
      <c r="AU90" s="52">
        <v>2.1999999999999999E-2</v>
      </c>
      <c r="AV90" s="27">
        <f t="shared" si="31"/>
        <v>2.1999999999999999E-2</v>
      </c>
      <c r="AW90" s="52">
        <v>2.1999999999999999E-2</v>
      </c>
      <c r="AX90" s="28">
        <f t="shared" si="32"/>
        <v>2.1999999999999999E-2</v>
      </c>
      <c r="AY90" s="52">
        <v>2.1999999999999999E-2</v>
      </c>
      <c r="AZ90" s="28">
        <f t="shared" si="33"/>
        <v>2.1999999999999999E-2</v>
      </c>
      <c r="BA90" s="52">
        <v>2.1299999999999999E-2</v>
      </c>
      <c r="BB90" s="27">
        <f t="shared" si="34"/>
        <v>2.1299999999999999E-2</v>
      </c>
      <c r="BF90" s="134">
        <v>2</v>
      </c>
      <c r="BG90" s="116" t="s">
        <v>234</v>
      </c>
      <c r="BH90" s="117">
        <v>2.1299999999999999E-2</v>
      </c>
      <c r="BI90" s="118">
        <f t="shared" si="35"/>
        <v>2.1299999999999999E-2</v>
      </c>
      <c r="BJ90" s="117">
        <v>2.1299999999999999E-2</v>
      </c>
      <c r="BK90" s="118">
        <f t="shared" si="36"/>
        <v>2.1299999999999999E-2</v>
      </c>
      <c r="BL90" s="59"/>
      <c r="BM90" s="59">
        <f>+AV90-BB90</f>
        <v>6.9999999999999923E-4</v>
      </c>
    </row>
    <row r="91" spans="2:65" x14ac:dyDescent="0.2">
      <c r="B91"/>
      <c r="AN91" s="25"/>
      <c r="AO91" s="26"/>
      <c r="AP91" s="26" t="s">
        <v>235</v>
      </c>
      <c r="AQ91" s="26" t="s">
        <v>236</v>
      </c>
      <c r="AR91" s="26"/>
      <c r="AS91" s="26"/>
      <c r="AT91" s="26">
        <v>1</v>
      </c>
      <c r="AU91" s="52">
        <v>0.17</v>
      </c>
      <c r="AV91" s="27">
        <f t="shared" si="31"/>
        <v>0.17</v>
      </c>
      <c r="AW91" s="52">
        <v>0.17</v>
      </c>
      <c r="AX91" s="28">
        <f t="shared" si="32"/>
        <v>0.17</v>
      </c>
      <c r="AY91" s="52">
        <v>0.17</v>
      </c>
      <c r="AZ91" s="28">
        <f t="shared" si="33"/>
        <v>0.17</v>
      </c>
      <c r="BA91" s="52">
        <v>0.18</v>
      </c>
      <c r="BB91" s="27">
        <f t="shared" si="34"/>
        <v>0.18</v>
      </c>
      <c r="BF91" s="134">
        <v>1</v>
      </c>
      <c r="BG91" s="116" t="s">
        <v>228</v>
      </c>
      <c r="BH91" s="117">
        <v>0.18</v>
      </c>
      <c r="BI91" s="118">
        <f t="shared" si="35"/>
        <v>0.18</v>
      </c>
      <c r="BJ91" s="117">
        <v>0.18</v>
      </c>
      <c r="BK91" s="118">
        <f t="shared" si="36"/>
        <v>0.18</v>
      </c>
      <c r="BL91" s="59"/>
      <c r="BM91" s="59"/>
    </row>
    <row r="92" spans="2:65" x14ac:dyDescent="0.2">
      <c r="B92"/>
      <c r="AN92" s="25"/>
      <c r="AO92" s="26"/>
      <c r="AP92" s="26" t="s">
        <v>237</v>
      </c>
      <c r="AQ92" s="26" t="s">
        <v>238</v>
      </c>
      <c r="AR92" s="26"/>
      <c r="AS92" s="26"/>
      <c r="AT92" s="26">
        <v>2</v>
      </c>
      <c r="AU92" s="52">
        <v>0.02</v>
      </c>
      <c r="AV92" s="27">
        <f t="shared" si="31"/>
        <v>0.04</v>
      </c>
      <c r="AW92" s="52">
        <v>0.02</v>
      </c>
      <c r="AX92" s="28">
        <f t="shared" si="32"/>
        <v>0.04</v>
      </c>
      <c r="AY92" s="52">
        <v>0.02</v>
      </c>
      <c r="AZ92" s="28">
        <f t="shared" si="33"/>
        <v>0.04</v>
      </c>
      <c r="BA92" s="52">
        <v>2.5999999999999999E-2</v>
      </c>
      <c r="BB92" s="27">
        <f t="shared" si="34"/>
        <v>5.1999999999999998E-2</v>
      </c>
      <c r="BF92" s="134">
        <v>1</v>
      </c>
      <c r="BG92" s="116" t="s">
        <v>225</v>
      </c>
      <c r="BH92" s="117">
        <v>2.5999999999999999E-2</v>
      </c>
      <c r="BI92" s="118">
        <f t="shared" si="35"/>
        <v>5.1999999999999998E-2</v>
      </c>
      <c r="BJ92" s="117">
        <v>2.5999999999999999E-2</v>
      </c>
      <c r="BK92" s="118">
        <f t="shared" si="36"/>
        <v>5.1999999999999998E-2</v>
      </c>
      <c r="BL92" s="59"/>
      <c r="BM92" s="59"/>
    </row>
    <row r="93" spans="2:65" x14ac:dyDescent="0.2">
      <c r="B93"/>
      <c r="AN93" s="25"/>
      <c r="AO93" s="26"/>
      <c r="AP93" s="26" t="s">
        <v>239</v>
      </c>
      <c r="AQ93" s="26" t="s">
        <v>240</v>
      </c>
      <c r="AR93" s="26"/>
      <c r="AS93" s="26"/>
      <c r="AT93" s="26">
        <v>1</v>
      </c>
      <c r="AU93" s="52">
        <v>0.85</v>
      </c>
      <c r="AV93" s="27">
        <f t="shared" si="31"/>
        <v>0.85</v>
      </c>
      <c r="AW93" s="52">
        <v>0.85</v>
      </c>
      <c r="AX93" s="28">
        <f t="shared" si="32"/>
        <v>0.85</v>
      </c>
      <c r="AY93" s="52">
        <v>0.85</v>
      </c>
      <c r="AZ93" s="28">
        <f t="shared" si="33"/>
        <v>0.85</v>
      </c>
      <c r="BA93" s="52">
        <v>0.85</v>
      </c>
      <c r="BB93" s="27">
        <f t="shared" si="34"/>
        <v>0.85</v>
      </c>
      <c r="BF93" s="134">
        <v>2</v>
      </c>
      <c r="BG93" s="116" t="s">
        <v>241</v>
      </c>
      <c r="BH93" s="117">
        <v>0.85</v>
      </c>
      <c r="BI93" s="118">
        <f t="shared" si="35"/>
        <v>0.85</v>
      </c>
      <c r="BJ93" s="117">
        <v>0.85</v>
      </c>
      <c r="BK93" s="118">
        <f t="shared" si="36"/>
        <v>0.85</v>
      </c>
      <c r="BL93" s="59"/>
      <c r="BM93" s="59"/>
    </row>
    <row r="94" spans="2:65" x14ac:dyDescent="0.2">
      <c r="B94"/>
      <c r="AN94" s="25"/>
      <c r="AO94" s="26"/>
      <c r="AP94" s="26" t="s">
        <v>242</v>
      </c>
      <c r="AQ94" s="26" t="s">
        <v>243</v>
      </c>
      <c r="AR94" s="26"/>
      <c r="AS94" s="26"/>
      <c r="AT94" s="26">
        <v>1</v>
      </c>
      <c r="AU94" s="52">
        <v>0.17299999999999999</v>
      </c>
      <c r="AV94" s="27">
        <f t="shared" si="31"/>
        <v>0.17299999999999999</v>
      </c>
      <c r="AW94" s="52">
        <v>0.17299999999999999</v>
      </c>
      <c r="AX94" s="28">
        <f t="shared" si="32"/>
        <v>0.17299999999999999</v>
      </c>
      <c r="AY94" s="52">
        <v>0.17299999999999999</v>
      </c>
      <c r="AZ94" s="28">
        <f t="shared" si="33"/>
        <v>0.17299999999999999</v>
      </c>
      <c r="BA94" s="52">
        <v>0.12</v>
      </c>
      <c r="BB94" s="27">
        <f t="shared" si="34"/>
        <v>0.12</v>
      </c>
      <c r="BF94" s="134">
        <v>1</v>
      </c>
      <c r="BG94" s="116" t="s">
        <v>211</v>
      </c>
      <c r="BH94" s="117">
        <v>0.12</v>
      </c>
      <c r="BI94" s="118">
        <f t="shared" si="35"/>
        <v>0.12</v>
      </c>
      <c r="BJ94" s="117">
        <v>0.12</v>
      </c>
      <c r="BK94" s="118">
        <f t="shared" si="36"/>
        <v>0.12</v>
      </c>
      <c r="BL94" s="59"/>
      <c r="BM94" s="59">
        <f>+AV94-BB94</f>
        <v>5.2999999999999992E-2</v>
      </c>
    </row>
    <row r="95" spans="2:65" x14ac:dyDescent="0.2">
      <c r="B95"/>
      <c r="AN95" s="25"/>
      <c r="AO95" s="26"/>
      <c r="AP95" s="168" t="s">
        <v>244</v>
      </c>
      <c r="AQ95" s="168" t="s">
        <v>245</v>
      </c>
      <c r="AR95" s="168"/>
      <c r="AS95" s="168"/>
      <c r="AT95" s="168">
        <v>2</v>
      </c>
      <c r="AU95" s="175">
        <v>1.51</v>
      </c>
      <c r="AV95" s="169">
        <f t="shared" si="31"/>
        <v>3.02</v>
      </c>
      <c r="AW95" s="175">
        <v>1.51</v>
      </c>
      <c r="AX95" s="170">
        <f t="shared" si="32"/>
        <v>3.02</v>
      </c>
      <c r="AY95" s="175">
        <v>1.51</v>
      </c>
      <c r="AZ95" s="170">
        <f t="shared" si="33"/>
        <v>3.02</v>
      </c>
      <c r="BA95" s="175">
        <v>1</v>
      </c>
      <c r="BB95" s="169">
        <f t="shared" si="34"/>
        <v>2</v>
      </c>
      <c r="BF95" s="134">
        <v>1</v>
      </c>
      <c r="BG95" s="116" t="s">
        <v>246</v>
      </c>
      <c r="BH95" s="117">
        <v>1</v>
      </c>
      <c r="BI95" s="118">
        <f t="shared" si="35"/>
        <v>2</v>
      </c>
      <c r="BJ95" s="117">
        <v>1</v>
      </c>
      <c r="BK95" s="118">
        <f t="shared" si="36"/>
        <v>2</v>
      </c>
      <c r="BL95" s="59"/>
      <c r="BM95" s="59"/>
    </row>
    <row r="96" spans="2:65" x14ac:dyDescent="0.2">
      <c r="B96"/>
      <c r="AN96" s="25"/>
      <c r="AO96" s="26"/>
      <c r="AP96" s="26" t="s">
        <v>247</v>
      </c>
      <c r="AQ96" s="26" t="s">
        <v>248</v>
      </c>
      <c r="AR96" s="26"/>
      <c r="AS96" s="26"/>
      <c r="AT96" s="26">
        <v>1</v>
      </c>
      <c r="AU96" s="52">
        <v>1.97</v>
      </c>
      <c r="AV96" s="27">
        <f t="shared" si="31"/>
        <v>1.97</v>
      </c>
      <c r="AW96" s="52">
        <v>1.97</v>
      </c>
      <c r="AX96" s="28">
        <f t="shared" si="32"/>
        <v>1.97</v>
      </c>
      <c r="AY96" s="52">
        <v>1.97</v>
      </c>
      <c r="AZ96" s="28">
        <f t="shared" si="33"/>
        <v>1.97</v>
      </c>
      <c r="BA96" s="52">
        <v>1.97</v>
      </c>
      <c r="BB96" s="27">
        <f t="shared" si="34"/>
        <v>1.97</v>
      </c>
      <c r="BF96" s="134">
        <v>2</v>
      </c>
      <c r="BG96" s="116" t="s">
        <v>249</v>
      </c>
      <c r="BH96" s="117">
        <v>1.97</v>
      </c>
      <c r="BI96" s="118">
        <f t="shared" si="35"/>
        <v>1.97</v>
      </c>
      <c r="BJ96" s="117">
        <v>1.97</v>
      </c>
      <c r="BK96" s="118">
        <f t="shared" si="36"/>
        <v>1.97</v>
      </c>
      <c r="BL96" s="59"/>
      <c r="BM96" s="59"/>
    </row>
    <row r="97" spans="2:75" x14ac:dyDescent="0.2">
      <c r="B97"/>
      <c r="AN97" s="25"/>
      <c r="AO97" s="26"/>
      <c r="AP97" s="26" t="s">
        <v>250</v>
      </c>
      <c r="AQ97" s="26" t="s">
        <v>251</v>
      </c>
      <c r="AR97" s="26"/>
      <c r="AS97" s="26"/>
      <c r="AT97" s="26">
        <v>1</v>
      </c>
      <c r="AU97" s="52">
        <v>7.2999999999999995E-2</v>
      </c>
      <c r="AV97" s="27">
        <f t="shared" si="31"/>
        <v>7.2999999999999995E-2</v>
      </c>
      <c r="AW97" s="52">
        <v>7.2999999999999995E-2</v>
      </c>
      <c r="AX97" s="28">
        <f t="shared" si="32"/>
        <v>7.2999999999999995E-2</v>
      </c>
      <c r="AY97" s="52">
        <v>7.2999999999999995E-2</v>
      </c>
      <c r="AZ97" s="28">
        <f t="shared" si="33"/>
        <v>7.2999999999999995E-2</v>
      </c>
      <c r="BA97" s="52">
        <v>9.5000000000000001E-2</v>
      </c>
      <c r="BB97" s="27">
        <f t="shared" si="34"/>
        <v>9.5000000000000001E-2</v>
      </c>
      <c r="BF97" s="134">
        <v>2</v>
      </c>
      <c r="BG97" s="116" t="s">
        <v>252</v>
      </c>
      <c r="BH97" s="117">
        <v>9.5000000000000001E-2</v>
      </c>
      <c r="BI97" s="118">
        <f t="shared" si="35"/>
        <v>9.5000000000000001E-2</v>
      </c>
      <c r="BJ97" s="117">
        <v>9.5000000000000001E-2</v>
      </c>
      <c r="BK97" s="118">
        <f t="shared" si="36"/>
        <v>9.5000000000000001E-2</v>
      </c>
      <c r="BL97" s="59"/>
      <c r="BM97" s="59"/>
    </row>
    <row r="98" spans="2:75" x14ac:dyDescent="0.2">
      <c r="B98"/>
      <c r="AN98" s="25"/>
      <c r="AO98" s="26"/>
      <c r="AP98" s="26" t="s">
        <v>253</v>
      </c>
      <c r="AQ98" s="26" t="s">
        <v>254</v>
      </c>
      <c r="AR98" s="26"/>
      <c r="AS98" s="26"/>
      <c r="AT98" s="26">
        <v>2</v>
      </c>
      <c r="AU98" s="52">
        <v>7.2999999999999995E-2</v>
      </c>
      <c r="AV98" s="27">
        <f t="shared" si="31"/>
        <v>0.14599999999999999</v>
      </c>
      <c r="AW98" s="52">
        <v>7.2999999999999995E-2</v>
      </c>
      <c r="AX98" s="28">
        <f t="shared" si="32"/>
        <v>0.14599999999999999</v>
      </c>
      <c r="AY98" s="52">
        <v>7.2999999999999995E-2</v>
      </c>
      <c r="AZ98" s="28">
        <f t="shared" si="33"/>
        <v>0.14599999999999999</v>
      </c>
      <c r="BA98" s="52">
        <v>7.4999999999999997E-2</v>
      </c>
      <c r="BB98" s="27">
        <f t="shared" si="34"/>
        <v>0.15</v>
      </c>
      <c r="BF98" s="134">
        <v>6</v>
      </c>
      <c r="BG98" s="116" t="s">
        <v>255</v>
      </c>
      <c r="BH98" s="117">
        <v>7.4999999999999997E-2</v>
      </c>
      <c r="BI98" s="118">
        <f t="shared" si="35"/>
        <v>0.15</v>
      </c>
      <c r="BJ98" s="117">
        <v>7.4999999999999997E-2</v>
      </c>
      <c r="BK98" s="118">
        <f t="shared" si="36"/>
        <v>0.15</v>
      </c>
      <c r="BL98" s="59"/>
      <c r="BM98" s="59"/>
    </row>
    <row r="99" spans="2:75" x14ac:dyDescent="0.2">
      <c r="B99"/>
      <c r="AN99" s="25"/>
      <c r="AO99" s="26"/>
      <c r="AP99" s="26" t="s">
        <v>256</v>
      </c>
      <c r="AQ99" s="26" t="s">
        <v>257</v>
      </c>
      <c r="AR99" s="26"/>
      <c r="AS99" s="26"/>
      <c r="AT99" s="26">
        <v>2</v>
      </c>
      <c r="AU99" s="52">
        <v>7.2999999999999995E-2</v>
      </c>
      <c r="AV99" s="27">
        <f t="shared" si="31"/>
        <v>0.14599999999999999</v>
      </c>
      <c r="AW99" s="52">
        <v>7.2999999999999995E-2</v>
      </c>
      <c r="AX99" s="28">
        <f t="shared" si="32"/>
        <v>0.14599999999999999</v>
      </c>
      <c r="AY99" s="52">
        <v>7.2999999999999995E-2</v>
      </c>
      <c r="AZ99" s="28">
        <f t="shared" si="33"/>
        <v>0.14599999999999999</v>
      </c>
      <c r="BA99" s="52">
        <v>9.5000000000000001E-2</v>
      </c>
      <c r="BB99" s="27">
        <f t="shared" si="34"/>
        <v>0.19</v>
      </c>
      <c r="BF99" s="134">
        <v>2</v>
      </c>
      <c r="BG99" s="116" t="s">
        <v>252</v>
      </c>
      <c r="BH99" s="117">
        <v>9.5000000000000001E-2</v>
      </c>
      <c r="BI99" s="118">
        <f t="shared" si="35"/>
        <v>0.19</v>
      </c>
      <c r="BJ99" s="117">
        <v>9.5000000000000001E-2</v>
      </c>
      <c r="BK99" s="118">
        <f t="shared" si="36"/>
        <v>0.19</v>
      </c>
      <c r="BL99" s="59"/>
      <c r="BM99" s="59"/>
    </row>
    <row r="100" spans="2:75" x14ac:dyDescent="0.2">
      <c r="B100"/>
      <c r="AN100" s="25"/>
      <c r="AO100" s="26"/>
      <c r="AP100" s="26" t="s">
        <v>258</v>
      </c>
      <c r="AQ100" s="26" t="s">
        <v>259</v>
      </c>
      <c r="AR100" s="26"/>
      <c r="AS100" s="26"/>
      <c r="AT100" s="26">
        <v>6</v>
      </c>
      <c r="AU100" s="52">
        <v>7.2999999999999995E-2</v>
      </c>
      <c r="AV100" s="27">
        <f t="shared" si="31"/>
        <v>0.43799999999999994</v>
      </c>
      <c r="AW100" s="52">
        <v>7.2999999999999995E-2</v>
      </c>
      <c r="AX100" s="28">
        <f t="shared" si="32"/>
        <v>0.43799999999999994</v>
      </c>
      <c r="AY100" s="52">
        <v>7.2999999999999995E-2</v>
      </c>
      <c r="AZ100" s="28">
        <f t="shared" si="33"/>
        <v>0.43799999999999994</v>
      </c>
      <c r="BA100" s="52">
        <v>7.4999999999999997E-2</v>
      </c>
      <c r="BB100" s="27">
        <f t="shared" si="34"/>
        <v>0.44999999999999996</v>
      </c>
      <c r="BF100" s="134">
        <v>6</v>
      </c>
      <c r="BG100" s="116" t="s">
        <v>252</v>
      </c>
      <c r="BH100" s="117">
        <v>7.4999999999999997E-2</v>
      </c>
      <c r="BI100" s="118">
        <f t="shared" si="35"/>
        <v>0.44999999999999996</v>
      </c>
      <c r="BJ100" s="117">
        <v>7.4999999999999997E-2</v>
      </c>
      <c r="BK100" s="118">
        <f t="shared" si="36"/>
        <v>0.44999999999999996</v>
      </c>
      <c r="BL100" s="59"/>
      <c r="BM100" s="59"/>
    </row>
    <row r="101" spans="2:75" x14ac:dyDescent="0.2">
      <c r="B101"/>
      <c r="AN101" s="25"/>
      <c r="AO101" s="26"/>
      <c r="AP101" s="26" t="s">
        <v>260</v>
      </c>
      <c r="AQ101" s="26" t="s">
        <v>261</v>
      </c>
      <c r="AR101" s="26"/>
      <c r="AS101" s="26"/>
      <c r="AT101" s="26">
        <v>2</v>
      </c>
      <c r="AU101" s="52">
        <v>7.2999999999999995E-2</v>
      </c>
      <c r="AV101" s="27">
        <f t="shared" si="31"/>
        <v>0.14599999999999999</v>
      </c>
      <c r="AW101" s="52">
        <v>7.2999999999999995E-2</v>
      </c>
      <c r="AX101" s="28">
        <f t="shared" si="32"/>
        <v>0.14599999999999999</v>
      </c>
      <c r="AY101" s="52">
        <v>7.2999999999999995E-2</v>
      </c>
      <c r="AZ101" s="28">
        <f t="shared" si="33"/>
        <v>0.14599999999999999</v>
      </c>
      <c r="BA101" s="52">
        <v>9.5000000000000001E-2</v>
      </c>
      <c r="BB101" s="27">
        <f t="shared" si="34"/>
        <v>0.19</v>
      </c>
      <c r="BF101" s="134">
        <v>1</v>
      </c>
      <c r="BG101" s="116" t="s">
        <v>252</v>
      </c>
      <c r="BH101" s="117">
        <v>9.5000000000000001E-2</v>
      </c>
      <c r="BI101" s="118">
        <f t="shared" si="35"/>
        <v>0.19</v>
      </c>
      <c r="BJ101" s="117">
        <v>9.5000000000000001E-2</v>
      </c>
      <c r="BK101" s="118">
        <f t="shared" si="36"/>
        <v>0.19</v>
      </c>
      <c r="BL101" s="59"/>
      <c r="BM101" s="59"/>
    </row>
    <row r="102" spans="2:75" x14ac:dyDescent="0.2">
      <c r="B102"/>
      <c r="AN102" s="25"/>
      <c r="AO102" s="26"/>
      <c r="AP102" s="26" t="s">
        <v>262</v>
      </c>
      <c r="AQ102" s="26" t="s">
        <v>263</v>
      </c>
      <c r="AR102" s="26"/>
      <c r="AS102" s="26"/>
      <c r="AT102" s="26">
        <v>6</v>
      </c>
      <c r="AU102" s="52">
        <v>4.8000000000000001E-2</v>
      </c>
      <c r="AV102" s="27">
        <f t="shared" si="31"/>
        <v>0.28800000000000003</v>
      </c>
      <c r="AW102" s="52">
        <v>4.8000000000000001E-2</v>
      </c>
      <c r="AX102" s="28">
        <f t="shared" si="32"/>
        <v>0.28800000000000003</v>
      </c>
      <c r="AY102" s="52">
        <v>4.8000000000000001E-2</v>
      </c>
      <c r="AZ102" s="28">
        <f t="shared" si="33"/>
        <v>0.28800000000000003</v>
      </c>
      <c r="BA102" s="52">
        <v>5.3999999999999999E-2</v>
      </c>
      <c r="BB102" s="27">
        <f t="shared" si="34"/>
        <v>0.32400000000000001</v>
      </c>
      <c r="BF102" s="136">
        <v>1</v>
      </c>
      <c r="BG102" s="116" t="s">
        <v>151</v>
      </c>
      <c r="BH102" s="117">
        <v>5.3999999999999999E-2</v>
      </c>
      <c r="BI102" s="118">
        <f t="shared" si="35"/>
        <v>0.32400000000000001</v>
      </c>
      <c r="BJ102" s="117">
        <v>5.3999999999999999E-2</v>
      </c>
      <c r="BK102" s="118">
        <f t="shared" si="36"/>
        <v>0.32400000000000001</v>
      </c>
      <c r="BL102" s="59"/>
      <c r="BM102" s="59"/>
    </row>
    <row r="103" spans="2:75" ht="14.25" x14ac:dyDescent="0.2">
      <c r="B103"/>
      <c r="AN103" s="25"/>
      <c r="AO103" s="26"/>
      <c r="AP103" s="26" t="s">
        <v>264</v>
      </c>
      <c r="AQ103" s="26" t="s">
        <v>265</v>
      </c>
      <c r="AR103" s="26"/>
      <c r="AS103" s="26"/>
      <c r="AT103" s="26">
        <v>1</v>
      </c>
      <c r="AU103" s="52">
        <v>4.3099999999999996</v>
      </c>
      <c r="AV103" s="27">
        <f t="shared" si="31"/>
        <v>4.3099999999999996</v>
      </c>
      <c r="AW103" s="52">
        <v>3.6680000000000001</v>
      </c>
      <c r="AX103" s="28">
        <f t="shared" si="32"/>
        <v>3.6680000000000001</v>
      </c>
      <c r="AY103" s="52">
        <v>4.3099999999999996</v>
      </c>
      <c r="AZ103" s="28">
        <f t="shared" si="33"/>
        <v>4.3099999999999996</v>
      </c>
      <c r="BA103" s="166">
        <v>3.4449999999999998</v>
      </c>
      <c r="BB103" s="27">
        <f t="shared" si="34"/>
        <v>3.4449999999999998</v>
      </c>
      <c r="BF103" s="132">
        <v>1</v>
      </c>
      <c r="BG103" s="116" t="s">
        <v>266</v>
      </c>
      <c r="BH103" s="117">
        <v>3.6179999999999999</v>
      </c>
      <c r="BI103" s="118">
        <f t="shared" si="35"/>
        <v>3.6179999999999999</v>
      </c>
      <c r="BJ103" s="122">
        <v>3.4449999999999998</v>
      </c>
      <c r="BK103" s="118">
        <f t="shared" si="36"/>
        <v>3.4449999999999998</v>
      </c>
      <c r="BL103" s="59">
        <f>+AV103-BB103</f>
        <v>0.86499999999999977</v>
      </c>
      <c r="BM103" s="59"/>
    </row>
    <row r="104" spans="2:75" ht="15" x14ac:dyDescent="0.25">
      <c r="B104"/>
      <c r="AN104" s="25"/>
      <c r="AO104" s="26"/>
      <c r="AP104" s="26" t="s">
        <v>267</v>
      </c>
      <c r="AQ104" s="26" t="s">
        <v>145</v>
      </c>
      <c r="AR104" s="26"/>
      <c r="AS104" s="26"/>
      <c r="AT104" s="26">
        <v>1</v>
      </c>
      <c r="AU104" s="52">
        <f>(+AU55*(AU126+AU127)+AU125+AU128)+((AU55+(+AU55*(AU126+AU127)+AU125+AU128))*AU129)</f>
        <v>6.5176368699999996</v>
      </c>
      <c r="AV104" s="27">
        <f t="shared" si="31"/>
        <v>6.5176368699999996</v>
      </c>
      <c r="AW104" s="52">
        <f>(+AW55*(AW126+AW127)+AW125+AW128)+((AW55+(+AW55*(AW126+AW127)+AW125+AW128))*AW129)</f>
        <v>6.3964455699999991</v>
      </c>
      <c r="AX104" s="28">
        <f t="shared" si="32"/>
        <v>6.3964455699999991</v>
      </c>
      <c r="AY104" s="52">
        <f>(+AY55*(AY126+AY127)+AY125+AY128)+((AY55+(+AY55*(AY126+AY127)+AY125+AY128))*AY129)</f>
        <v>6.4450128700000002</v>
      </c>
      <c r="AZ104" s="28">
        <f t="shared" si="33"/>
        <v>6.4450128700000002</v>
      </c>
      <c r="BA104" s="52">
        <f>(+BA55*(BA126+BA127)+BA125+BA128)+((BA55+(+BA55*(BA126+BA127)+BA125+BA128))*BA129)</f>
        <v>6.1129925849999998</v>
      </c>
      <c r="BB104" s="183">
        <v>3.0129999999999999</v>
      </c>
      <c r="BF104" s="132">
        <v>1</v>
      </c>
      <c r="BG104" s="123" t="s">
        <v>268</v>
      </c>
      <c r="BH104" s="124"/>
      <c r="BI104" s="125">
        <v>3.0125999999999999</v>
      </c>
      <c r="BJ104" s="124"/>
      <c r="BK104" s="125">
        <v>3.0125999999999999</v>
      </c>
      <c r="BL104" s="59"/>
      <c r="BM104" s="59"/>
      <c r="BW104" s="54">
        <f>+AU104-BK104</f>
        <v>3.5050368699999996</v>
      </c>
    </row>
    <row r="105" spans="2:75" ht="15.75" thickBot="1" x14ac:dyDescent="0.25">
      <c r="B105"/>
      <c r="AN105" s="29" t="s">
        <v>269</v>
      </c>
      <c r="AO105" s="30"/>
      <c r="AP105" s="30"/>
      <c r="AQ105" s="30" t="s">
        <v>270</v>
      </c>
      <c r="AR105" s="30"/>
      <c r="AS105" s="30"/>
      <c r="AT105" s="30">
        <v>1</v>
      </c>
      <c r="AU105" s="64">
        <v>6.7000000000000004E-2</v>
      </c>
      <c r="AV105" s="31">
        <f t="shared" si="31"/>
        <v>6.7000000000000004E-2</v>
      </c>
      <c r="AW105" s="64">
        <v>6.7000000000000004E-2</v>
      </c>
      <c r="AX105" s="32">
        <f t="shared" si="32"/>
        <v>6.7000000000000004E-2</v>
      </c>
      <c r="AY105" s="64">
        <v>6.7000000000000004E-2</v>
      </c>
      <c r="AZ105" s="32">
        <f t="shared" si="33"/>
        <v>6.7000000000000004E-2</v>
      </c>
      <c r="BA105" s="64">
        <v>6.7000000000000004E-2</v>
      </c>
      <c r="BB105" s="31">
        <f>$AT105*BA105</f>
        <v>6.7000000000000004E-2</v>
      </c>
      <c r="BF105" s="156">
        <v>1</v>
      </c>
      <c r="BG105" s="157" t="s">
        <v>271</v>
      </c>
      <c r="BH105" s="158">
        <v>6.7000000000000004E-2</v>
      </c>
      <c r="BI105" s="159">
        <f>+BH105*BF105</f>
        <v>6.7000000000000004E-2</v>
      </c>
      <c r="BJ105" s="158">
        <v>6.7000000000000004E-2</v>
      </c>
      <c r="BK105" s="159">
        <f>+BJ105*BF105</f>
        <v>6.7000000000000004E-2</v>
      </c>
      <c r="BL105" s="59"/>
      <c r="BM105" s="59"/>
    </row>
    <row r="106" spans="2:75" ht="15" thickBot="1" x14ac:dyDescent="0.25">
      <c r="B106"/>
      <c r="AU106" s="56"/>
      <c r="AV106" s="59"/>
      <c r="AW106" s="54"/>
      <c r="AY106" s="54"/>
      <c r="BA106" s="54"/>
      <c r="BB106" s="59"/>
      <c r="BF106" s="152"/>
      <c r="BG106" s="126"/>
      <c r="BH106" s="153"/>
      <c r="BI106" s="154"/>
      <c r="BJ106" s="153"/>
      <c r="BK106" s="154"/>
      <c r="BL106" s="59"/>
      <c r="BM106" s="59"/>
    </row>
    <row r="107" spans="2:75" ht="15.75" x14ac:dyDescent="0.25">
      <c r="B107"/>
      <c r="AN107" s="37" t="s">
        <v>272</v>
      </c>
      <c r="AO107" s="38"/>
      <c r="AP107" s="38"/>
      <c r="AQ107" s="39" t="s">
        <v>273</v>
      </c>
      <c r="AR107" s="38"/>
      <c r="AS107" s="38"/>
      <c r="AT107" s="38" t="s">
        <v>167</v>
      </c>
      <c r="AU107" s="51"/>
      <c r="AV107" s="44">
        <f>SUM(AV108:AV114)</f>
        <v>1.3235892857142857</v>
      </c>
      <c r="AW107" s="51"/>
      <c r="AX107" s="40">
        <f>SUM(AX108:AX114)</f>
        <v>1.3235892857142857</v>
      </c>
      <c r="AY107" s="51"/>
      <c r="AZ107" s="40">
        <f>SUM(AZ108:AZ114)</f>
        <v>1.3235892857142857</v>
      </c>
      <c r="BA107" s="51"/>
      <c r="BB107" s="44">
        <f>SUM(BB108:BB114)</f>
        <v>0.94858928571428569</v>
      </c>
      <c r="BF107" s="148" t="s">
        <v>167</v>
      </c>
      <c r="BG107" s="149"/>
      <c r="BH107" s="150"/>
      <c r="BI107" s="151">
        <f>SUM(BI108:BI114)</f>
        <v>0.78247405714285712</v>
      </c>
      <c r="BJ107" s="150"/>
      <c r="BK107" s="155">
        <f>SUM(BK108:BK114)</f>
        <v>0.78247405714285712</v>
      </c>
      <c r="BL107" s="59"/>
      <c r="BM107" s="59"/>
    </row>
    <row r="108" spans="2:75" ht="14.25" x14ac:dyDescent="0.2">
      <c r="B108"/>
      <c r="AN108" s="25"/>
      <c r="AO108" s="26" t="s">
        <v>274</v>
      </c>
      <c r="AP108" s="26"/>
      <c r="AQ108" s="26" t="s">
        <v>275</v>
      </c>
      <c r="AR108" s="26"/>
      <c r="AS108" s="26"/>
      <c r="AT108" s="26">
        <v>1</v>
      </c>
      <c r="AU108" s="52">
        <v>3.0000000000000001E-3</v>
      </c>
      <c r="AV108" s="27">
        <f t="shared" ref="AV108:AV114" si="37">$AT108*AU108</f>
        <v>3.0000000000000001E-3</v>
      </c>
      <c r="AW108" s="52">
        <v>3.0000000000000001E-3</v>
      </c>
      <c r="AX108" s="28">
        <f t="shared" ref="AX108:AX114" si="38">$AT108*AW108</f>
        <v>3.0000000000000001E-3</v>
      </c>
      <c r="AY108" s="52">
        <v>3.0000000000000001E-3</v>
      </c>
      <c r="AZ108" s="28">
        <f t="shared" ref="AZ108:AZ114" si="39">$AT108*AY108</f>
        <v>3.0000000000000001E-3</v>
      </c>
      <c r="BA108" s="52">
        <v>3.0000000000000001E-3</v>
      </c>
      <c r="BB108" s="27">
        <f t="shared" ref="BB108:BB114" si="40">$AT108*BA108</f>
        <v>3.0000000000000001E-3</v>
      </c>
      <c r="BF108" s="132"/>
      <c r="BG108" s="103"/>
      <c r="BH108" s="107"/>
      <c r="BI108" s="105"/>
      <c r="BJ108" s="107"/>
      <c r="BK108" s="105"/>
      <c r="BL108" s="59"/>
      <c r="BM108" s="59"/>
    </row>
    <row r="109" spans="2:75" ht="14.25" x14ac:dyDescent="0.2">
      <c r="B109"/>
      <c r="AN109" s="25"/>
      <c r="AO109" s="26" t="s">
        <v>276</v>
      </c>
      <c r="AP109" s="26"/>
      <c r="AQ109" s="26" t="s">
        <v>277</v>
      </c>
      <c r="AR109" s="26"/>
      <c r="AS109" s="26"/>
      <c r="AT109" s="26">
        <f>1/((48+64)/2)</f>
        <v>1.7857142857142856E-2</v>
      </c>
      <c r="AU109" s="52">
        <v>1.54</v>
      </c>
      <c r="AV109" s="27">
        <f t="shared" si="37"/>
        <v>2.75E-2</v>
      </c>
      <c r="AW109" s="52">
        <v>1.54</v>
      </c>
      <c r="AX109" s="28">
        <f t="shared" si="38"/>
        <v>2.75E-2</v>
      </c>
      <c r="AY109" s="52">
        <v>1.54</v>
      </c>
      <c r="AZ109" s="28">
        <f t="shared" si="39"/>
        <v>2.75E-2</v>
      </c>
      <c r="BA109" s="52">
        <v>1.54</v>
      </c>
      <c r="BB109" s="27">
        <f t="shared" si="40"/>
        <v>2.75E-2</v>
      </c>
      <c r="BF109" s="132">
        <f>1/((48+64)/2)</f>
        <v>1.7857142857142856E-2</v>
      </c>
      <c r="BG109" s="103"/>
      <c r="BH109" s="107">
        <v>1.8</v>
      </c>
      <c r="BI109" s="105">
        <f t="shared" ref="BI109:BI114" si="41">+BH109*BF109</f>
        <v>3.214285714285714E-2</v>
      </c>
      <c r="BJ109" s="107">
        <v>1.8</v>
      </c>
      <c r="BK109" s="105">
        <f t="shared" ref="BK109:BK114" si="42">+BJ109*BF109</f>
        <v>3.214285714285714E-2</v>
      </c>
      <c r="BL109" s="59"/>
      <c r="BM109" s="59"/>
    </row>
    <row r="110" spans="2:75" ht="14.25" x14ac:dyDescent="0.2">
      <c r="B110"/>
      <c r="AN110" s="25"/>
      <c r="AO110" s="26" t="s">
        <v>278</v>
      </c>
      <c r="AP110" s="26"/>
      <c r="AQ110" s="26" t="s">
        <v>279</v>
      </c>
      <c r="AR110" s="26"/>
      <c r="AS110" s="26"/>
      <c r="AT110" s="26">
        <v>1</v>
      </c>
      <c r="AU110" s="52">
        <v>8.6999999999999994E-2</v>
      </c>
      <c r="AV110" s="27">
        <f t="shared" si="37"/>
        <v>8.6999999999999994E-2</v>
      </c>
      <c r="AW110" s="52">
        <v>8.6999999999999994E-2</v>
      </c>
      <c r="AX110" s="28">
        <f t="shared" si="38"/>
        <v>8.6999999999999994E-2</v>
      </c>
      <c r="AY110" s="52">
        <v>8.6999999999999994E-2</v>
      </c>
      <c r="AZ110" s="28">
        <f t="shared" si="39"/>
        <v>8.6999999999999994E-2</v>
      </c>
      <c r="BA110" s="52">
        <v>8.6999999999999994E-2</v>
      </c>
      <c r="BB110" s="27">
        <f t="shared" si="40"/>
        <v>8.6999999999999994E-2</v>
      </c>
      <c r="BF110" s="132">
        <v>1</v>
      </c>
      <c r="BG110" s="103"/>
      <c r="BH110" s="107">
        <v>7.3999999999999996E-2</v>
      </c>
      <c r="BI110" s="105">
        <f t="shared" si="41"/>
        <v>7.3999999999999996E-2</v>
      </c>
      <c r="BJ110" s="107">
        <v>7.3999999999999996E-2</v>
      </c>
      <c r="BK110" s="105">
        <f t="shared" si="42"/>
        <v>7.3999999999999996E-2</v>
      </c>
      <c r="BL110" s="59"/>
      <c r="BM110" s="59"/>
    </row>
    <row r="111" spans="2:75" ht="14.25" x14ac:dyDescent="0.2">
      <c r="B111"/>
      <c r="AN111" s="25"/>
      <c r="AO111" s="26" t="s">
        <v>280</v>
      </c>
      <c r="AP111" s="26"/>
      <c r="AQ111" s="26" t="s">
        <v>281</v>
      </c>
      <c r="AR111" s="26"/>
      <c r="AS111" s="26"/>
      <c r="AT111" s="26">
        <f>1/((48+64)/2)</f>
        <v>1.7857142857142856E-2</v>
      </c>
      <c r="AU111" s="52">
        <v>0.39700000000000002</v>
      </c>
      <c r="AV111" s="27">
        <f t="shared" si="37"/>
        <v>7.0892857142857146E-3</v>
      </c>
      <c r="AW111" s="52">
        <v>0.39700000000000002</v>
      </c>
      <c r="AX111" s="28">
        <f t="shared" si="38"/>
        <v>7.0892857142857146E-3</v>
      </c>
      <c r="AY111" s="52">
        <v>0.39700000000000002</v>
      </c>
      <c r="AZ111" s="28">
        <f t="shared" si="39"/>
        <v>7.0892857142857146E-3</v>
      </c>
      <c r="BA111" s="52">
        <v>0.39700000000000002</v>
      </c>
      <c r="BB111" s="27">
        <f t="shared" si="40"/>
        <v>7.0892857142857146E-3</v>
      </c>
      <c r="BF111" s="132">
        <v>3.5999999999999997E-2</v>
      </c>
      <c r="BG111" s="103"/>
      <c r="BH111" s="107">
        <v>8.2199999999999995E-2</v>
      </c>
      <c r="BI111" s="105">
        <f t="shared" si="41"/>
        <v>2.9591999999999995E-3</v>
      </c>
      <c r="BJ111" s="107">
        <v>8.2199999999999995E-2</v>
      </c>
      <c r="BK111" s="105">
        <f t="shared" si="42"/>
        <v>2.9591999999999995E-3</v>
      </c>
      <c r="BL111" s="59"/>
      <c r="BM111" s="59"/>
    </row>
    <row r="112" spans="2:75" ht="14.25" x14ac:dyDescent="0.2">
      <c r="B112"/>
      <c r="AN112" s="25"/>
      <c r="AO112" s="26" t="s">
        <v>282</v>
      </c>
      <c r="AP112" s="26"/>
      <c r="AQ112" s="67" t="s">
        <v>283</v>
      </c>
      <c r="AR112" s="26"/>
      <c r="AS112" s="26"/>
      <c r="AT112" s="26">
        <v>0.125</v>
      </c>
      <c r="AU112" s="52">
        <v>4.78</v>
      </c>
      <c r="AV112" s="27">
        <f t="shared" si="37"/>
        <v>0.59750000000000003</v>
      </c>
      <c r="AW112" s="52">
        <v>4.78</v>
      </c>
      <c r="AX112" s="28">
        <f t="shared" si="38"/>
        <v>0.59750000000000003</v>
      </c>
      <c r="AY112" s="52">
        <v>4.78</v>
      </c>
      <c r="AZ112" s="28">
        <f t="shared" si="39"/>
        <v>0.59750000000000003</v>
      </c>
      <c r="BA112" s="335">
        <v>3.28</v>
      </c>
      <c r="BB112" s="27">
        <f t="shared" si="40"/>
        <v>0.41</v>
      </c>
      <c r="BF112" s="132">
        <v>0.125</v>
      </c>
      <c r="BG112" s="103"/>
      <c r="BH112" s="107">
        <v>2.6896</v>
      </c>
      <c r="BI112" s="105">
        <f t="shared" si="41"/>
        <v>0.3362</v>
      </c>
      <c r="BJ112" s="107">
        <v>2.6896</v>
      </c>
      <c r="BK112" s="105">
        <f t="shared" si="42"/>
        <v>0.3362</v>
      </c>
      <c r="BL112" s="59"/>
      <c r="BM112" s="185">
        <f>+AV112-BB112</f>
        <v>0.18750000000000006</v>
      </c>
      <c r="BQ112" s="59">
        <f>+BB112-BK112</f>
        <v>7.3799999999999977E-2</v>
      </c>
    </row>
    <row r="113" spans="2:75" ht="14.25" x14ac:dyDescent="0.2">
      <c r="B113"/>
      <c r="AN113" s="25"/>
      <c r="AO113" s="26" t="s">
        <v>284</v>
      </c>
      <c r="AP113" s="26"/>
      <c r="AQ113" s="67" t="s">
        <v>285</v>
      </c>
      <c r="AR113" s="26"/>
      <c r="AS113" s="26"/>
      <c r="AT113" s="26">
        <v>0.125</v>
      </c>
      <c r="AU113" s="52">
        <v>4.78</v>
      </c>
      <c r="AV113" s="27">
        <f t="shared" si="37"/>
        <v>0.59750000000000003</v>
      </c>
      <c r="AW113" s="52">
        <v>4.78</v>
      </c>
      <c r="AX113" s="28">
        <f t="shared" si="38"/>
        <v>0.59750000000000003</v>
      </c>
      <c r="AY113" s="52">
        <v>4.78</v>
      </c>
      <c r="AZ113" s="28">
        <f t="shared" si="39"/>
        <v>0.59750000000000003</v>
      </c>
      <c r="BA113" s="335">
        <v>3.28</v>
      </c>
      <c r="BB113" s="27">
        <f t="shared" si="40"/>
        <v>0.41</v>
      </c>
      <c r="BF113" s="132">
        <v>0.125</v>
      </c>
      <c r="BG113" s="103"/>
      <c r="BH113" s="107">
        <v>2.6896</v>
      </c>
      <c r="BI113" s="105">
        <f t="shared" si="41"/>
        <v>0.3362</v>
      </c>
      <c r="BJ113" s="107">
        <v>2.6896</v>
      </c>
      <c r="BK113" s="105">
        <f t="shared" si="42"/>
        <v>0.3362</v>
      </c>
      <c r="BL113" s="59"/>
      <c r="BM113" s="185">
        <f>+AV113-BB113</f>
        <v>0.18750000000000006</v>
      </c>
      <c r="BQ113" s="59">
        <f>+BB113-BK113</f>
        <v>7.3799999999999977E-2</v>
      </c>
      <c r="BR113" s="59"/>
    </row>
    <row r="114" spans="2:75" ht="15" thickBot="1" x14ac:dyDescent="0.25">
      <c r="B114"/>
      <c r="AN114" s="33"/>
      <c r="AO114" s="34" t="s">
        <v>286</v>
      </c>
      <c r="AP114" s="34"/>
      <c r="AQ114" s="68" t="s">
        <v>287</v>
      </c>
      <c r="AR114" s="34"/>
      <c r="AS114" s="34"/>
      <c r="AT114" s="34">
        <v>0.02</v>
      </c>
      <c r="AU114" s="55">
        <v>0.2</v>
      </c>
      <c r="AV114" s="35">
        <f t="shared" si="37"/>
        <v>4.0000000000000001E-3</v>
      </c>
      <c r="AW114" s="55">
        <v>0.2</v>
      </c>
      <c r="AX114" s="36">
        <f t="shared" si="38"/>
        <v>4.0000000000000001E-3</v>
      </c>
      <c r="AY114" s="55">
        <v>0.2</v>
      </c>
      <c r="AZ114" s="36">
        <f t="shared" si="39"/>
        <v>4.0000000000000001E-3</v>
      </c>
      <c r="BA114" s="55">
        <v>0.2</v>
      </c>
      <c r="BB114" s="35">
        <f t="shared" si="40"/>
        <v>4.0000000000000001E-3</v>
      </c>
      <c r="BF114" s="137">
        <v>1.7999999999999999E-2</v>
      </c>
      <c r="BG114" s="127"/>
      <c r="BH114" s="128">
        <v>5.3999999999999999E-2</v>
      </c>
      <c r="BI114" s="129">
        <f t="shared" si="41"/>
        <v>9.7199999999999988E-4</v>
      </c>
      <c r="BJ114" s="128">
        <v>5.3999999999999999E-2</v>
      </c>
      <c r="BK114" s="129">
        <f t="shared" si="42"/>
        <v>9.7199999999999988E-4</v>
      </c>
      <c r="BL114" s="59"/>
      <c r="BM114" s="59"/>
    </row>
    <row r="115" spans="2:75" ht="13.5" thickBot="1" x14ac:dyDescent="0.25">
      <c r="B115"/>
      <c r="BF115" s="76"/>
      <c r="BL115" s="184">
        <f t="shared" ref="BL115:BQ115" si="43">SUM(BL6:BL114)</f>
        <v>2.8203999999999998</v>
      </c>
      <c r="BM115" s="59">
        <f t="shared" si="43"/>
        <v>3.3876999999999997</v>
      </c>
      <c r="BN115" s="184">
        <f t="shared" si="43"/>
        <v>1.3699999999999994</v>
      </c>
      <c r="BO115" s="184">
        <f t="shared" si="43"/>
        <v>0.35599999999999993</v>
      </c>
      <c r="BP115" s="184">
        <f t="shared" si="43"/>
        <v>0.52929999999999988</v>
      </c>
      <c r="BQ115" s="184">
        <f t="shared" si="43"/>
        <v>1.5882000000000001</v>
      </c>
      <c r="BS115" s="184">
        <f>SUM(BS6:BS114)</f>
        <v>14.520000000000003</v>
      </c>
      <c r="BT115" s="59" t="e">
        <f>SUM(BT6:BT114)</f>
        <v>#REF!</v>
      </c>
      <c r="BV115" s="59" t="e">
        <f>SUM(BV6:BV114)</f>
        <v>#REF!</v>
      </c>
      <c r="BW115" s="184">
        <f>SUM(BW6:BW114)</f>
        <v>3.5050368699999996</v>
      </c>
    </row>
    <row r="116" spans="2:75" ht="15" x14ac:dyDescent="0.2">
      <c r="B116"/>
      <c r="AN116" s="37" t="s">
        <v>288</v>
      </c>
      <c r="AO116" s="38"/>
      <c r="AP116" s="38"/>
      <c r="AQ116" s="39" t="s">
        <v>288</v>
      </c>
      <c r="AR116" s="38"/>
      <c r="AS116" s="38"/>
      <c r="AT116" s="38" t="s">
        <v>167</v>
      </c>
      <c r="AU116" s="51"/>
      <c r="AV116" s="44">
        <f>SUM(AV117:AV121)</f>
        <v>-5.16</v>
      </c>
      <c r="AW116" s="51"/>
      <c r="AX116" s="44">
        <f>SUM(AX117:AX121)</f>
        <v>-5.5299999999999994</v>
      </c>
      <c r="AY116" s="51"/>
      <c r="AZ116" s="44">
        <f>SUM(AZ117:AZ121)</f>
        <v>-5.5299999999999994</v>
      </c>
      <c r="BA116" s="51"/>
      <c r="BB116" s="342">
        <f>SUM(BB117:BB121)</f>
        <v>0</v>
      </c>
      <c r="BF116" s="76"/>
      <c r="BL116" s="184"/>
      <c r="BM116" s="59"/>
      <c r="BN116" s="184"/>
      <c r="BO116" s="184"/>
      <c r="BP116" s="184"/>
      <c r="BQ116" s="184"/>
      <c r="BS116" s="184"/>
      <c r="BT116" s="59"/>
      <c r="BV116" s="59"/>
      <c r="BW116" s="184"/>
    </row>
    <row r="117" spans="2:75" x14ac:dyDescent="0.2">
      <c r="B117"/>
      <c r="AN117" s="25"/>
      <c r="AO117" s="26"/>
      <c r="AP117" s="168" t="s">
        <v>212</v>
      </c>
      <c r="AQ117" s="168" t="s">
        <v>213</v>
      </c>
      <c r="AR117" s="168"/>
      <c r="AS117" s="168"/>
      <c r="AT117" s="168">
        <v>1</v>
      </c>
      <c r="AU117" s="175">
        <v>0.75</v>
      </c>
      <c r="AV117" s="169">
        <f>(+AU117*$AT117)-AV83</f>
        <v>-0.12</v>
      </c>
      <c r="AW117" s="175">
        <v>0.75</v>
      </c>
      <c r="AX117" s="169">
        <f>(+AW117*$AT117)-AX83</f>
        <v>-0.12</v>
      </c>
      <c r="AY117" s="175">
        <v>0.75</v>
      </c>
      <c r="AZ117" s="169">
        <f>(+AY117*$AT117)-AZ83</f>
        <v>-0.12</v>
      </c>
      <c r="BA117" s="175">
        <v>0.75</v>
      </c>
      <c r="BB117" s="343">
        <f>(+BA117*$AT117)-BB83</f>
        <v>0</v>
      </c>
      <c r="BF117" s="76"/>
      <c r="BL117" s="59">
        <f>+BL115+BN115+BO115+BP115+BQ115+BS115+BW115</f>
        <v>24.688936869999999</v>
      </c>
      <c r="BM117" s="59"/>
      <c r="BN117" s="184"/>
      <c r="BO117" s="184"/>
      <c r="BP117" s="184"/>
      <c r="BQ117" s="184"/>
      <c r="BS117" s="184"/>
      <c r="BT117" s="59"/>
      <c r="BV117" s="59"/>
      <c r="BW117" s="184"/>
    </row>
    <row r="118" spans="2:75" x14ac:dyDescent="0.2">
      <c r="B118"/>
      <c r="AN118" s="25" t="s">
        <v>167</v>
      </c>
      <c r="AO118" s="26"/>
      <c r="AP118" s="168" t="s">
        <v>215</v>
      </c>
      <c r="AQ118" s="168" t="s">
        <v>216</v>
      </c>
      <c r="AR118" s="168"/>
      <c r="AS118" s="168"/>
      <c r="AT118" s="168">
        <v>1</v>
      </c>
      <c r="AU118" s="175">
        <v>3</v>
      </c>
      <c r="AV118" s="169">
        <f>(+AU118*$AT118)-AV84</f>
        <v>-0.20999999999999996</v>
      </c>
      <c r="AW118" s="175">
        <v>2.63</v>
      </c>
      <c r="AX118" s="169">
        <f>(+AW118*$AT118)-AX84</f>
        <v>-0.58000000000000007</v>
      </c>
      <c r="AY118" s="175">
        <v>2.63</v>
      </c>
      <c r="AZ118" s="169">
        <f>(+AY118*$AT118)-AZ84</f>
        <v>-0.58000000000000007</v>
      </c>
      <c r="BA118" s="175">
        <v>3</v>
      </c>
      <c r="BB118" s="343">
        <f>(+BA118*$AT118)-BB84</f>
        <v>0</v>
      </c>
      <c r="BF118" s="76"/>
      <c r="BL118" s="59"/>
      <c r="BN118" s="184"/>
      <c r="BO118" s="184"/>
      <c r="BP118" s="184"/>
      <c r="BQ118" s="184"/>
      <c r="BS118" s="184"/>
      <c r="BT118" s="59"/>
      <c r="BV118" s="59"/>
      <c r="BW118" s="184"/>
    </row>
    <row r="119" spans="2:75" x14ac:dyDescent="0.2">
      <c r="B119"/>
      <c r="AN119" s="25"/>
      <c r="AO119" s="26"/>
      <c r="AP119" s="168" t="s">
        <v>226</v>
      </c>
      <c r="AQ119" s="168" t="s">
        <v>227</v>
      </c>
      <c r="AR119" s="168"/>
      <c r="AS119" s="168"/>
      <c r="AT119" s="168">
        <v>1</v>
      </c>
      <c r="AU119" s="175">
        <v>2.16</v>
      </c>
      <c r="AV119" s="169">
        <f>(+AU119*$AT119)-AV88</f>
        <v>-1.21</v>
      </c>
      <c r="AW119" s="175">
        <v>2.16</v>
      </c>
      <c r="AX119" s="169">
        <f>(+AW119*$AT119)-AX88</f>
        <v>-1.21</v>
      </c>
      <c r="AY119" s="175">
        <v>2.16</v>
      </c>
      <c r="AZ119" s="169">
        <f>(+AY119*$AT119)-AZ88</f>
        <v>-1.21</v>
      </c>
      <c r="BA119" s="175">
        <v>2.1265999999999998</v>
      </c>
      <c r="BB119" s="343">
        <f>(+BA119*$AT119)-BB88</f>
        <v>0</v>
      </c>
      <c r="BF119" s="76"/>
      <c r="BN119" s="184"/>
      <c r="BO119" s="184"/>
      <c r="BP119" s="184"/>
      <c r="BQ119" s="184"/>
      <c r="BS119" s="184"/>
      <c r="BT119" s="59"/>
      <c r="BV119" s="59"/>
      <c r="BW119" s="184"/>
    </row>
    <row r="120" spans="2:75" x14ac:dyDescent="0.2">
      <c r="B120"/>
      <c r="AN120" s="25"/>
      <c r="AO120" s="26"/>
      <c r="AP120" s="168" t="s">
        <v>229</v>
      </c>
      <c r="AQ120" s="168" t="s">
        <v>230</v>
      </c>
      <c r="AR120" s="168"/>
      <c r="AS120" s="168"/>
      <c r="AT120" s="168">
        <v>1</v>
      </c>
      <c r="AU120" s="175">
        <v>9.2100000000000009</v>
      </c>
      <c r="AV120" s="169">
        <f>(+AU120*$AT120)-AV89</f>
        <v>-2.5999999999999996</v>
      </c>
      <c r="AW120" s="175">
        <v>9.2100000000000009</v>
      </c>
      <c r="AX120" s="169">
        <f>(+AW120*$AT120)-AX89</f>
        <v>-2.5999999999999996</v>
      </c>
      <c r="AY120" s="175">
        <v>9.2100000000000009</v>
      </c>
      <c r="AZ120" s="169">
        <f>(+AY120*$AT120)-AZ89</f>
        <v>-2.5999999999999996</v>
      </c>
      <c r="BA120" s="175">
        <v>9.2100000000000009</v>
      </c>
      <c r="BB120" s="343">
        <f>(+BA120*$AT120)-BB89</f>
        <v>0</v>
      </c>
      <c r="BF120" s="76"/>
      <c r="BN120" s="184"/>
      <c r="BO120" s="184"/>
      <c r="BP120" s="184"/>
      <c r="BQ120" s="184"/>
      <c r="BS120" s="184"/>
      <c r="BT120" s="59"/>
      <c r="BV120" s="59"/>
      <c r="BW120" s="184"/>
    </row>
    <row r="121" spans="2:75" ht="13.5" thickBot="1" x14ac:dyDescent="0.25">
      <c r="B121"/>
      <c r="AN121" s="33"/>
      <c r="AO121" s="34"/>
      <c r="AP121" s="344" t="s">
        <v>244</v>
      </c>
      <c r="AQ121" s="344" t="s">
        <v>245</v>
      </c>
      <c r="AR121" s="344"/>
      <c r="AS121" s="344"/>
      <c r="AT121" s="344">
        <v>2</v>
      </c>
      <c r="AU121" s="345">
        <v>1</v>
      </c>
      <c r="AV121" s="346">
        <f>(+AU121*$AT121)-AV95</f>
        <v>-1.02</v>
      </c>
      <c r="AW121" s="345">
        <v>1</v>
      </c>
      <c r="AX121" s="346">
        <f>(+AW121*$AT121)-AX95</f>
        <v>-1.02</v>
      </c>
      <c r="AY121" s="345">
        <v>1</v>
      </c>
      <c r="AZ121" s="346">
        <f>(+AY121*$AT121)-AZ95</f>
        <v>-1.02</v>
      </c>
      <c r="BA121" s="345">
        <v>1</v>
      </c>
      <c r="BB121" s="347">
        <f>(+BA121*$AT121)-BB95</f>
        <v>0</v>
      </c>
      <c r="BF121" s="76"/>
      <c r="BN121" s="184"/>
      <c r="BO121" s="184"/>
      <c r="BP121" s="184"/>
      <c r="BQ121" s="184"/>
      <c r="BS121" s="184"/>
      <c r="BT121" s="59"/>
      <c r="BV121" s="59"/>
      <c r="BW121" s="184"/>
    </row>
    <row r="122" spans="2:75" x14ac:dyDescent="0.2">
      <c r="B122"/>
      <c r="BF122" s="76"/>
      <c r="BN122" s="184"/>
      <c r="BO122" s="184"/>
      <c r="BP122" s="184"/>
      <c r="BQ122" s="184"/>
      <c r="BS122" s="184"/>
      <c r="BT122" s="59"/>
      <c r="BV122" s="59"/>
      <c r="BW122" s="184"/>
    </row>
    <row r="123" spans="2:75" x14ac:dyDescent="0.2">
      <c r="B123"/>
      <c r="AV123" s="59"/>
      <c r="AW123" s="54"/>
      <c r="AX123" s="334"/>
      <c r="AY123" s="54"/>
      <c r="BF123" s="76"/>
      <c r="BN123" s="184"/>
      <c r="BO123" s="184"/>
      <c r="BP123" s="184"/>
      <c r="BQ123" s="184"/>
      <c r="BS123" s="184"/>
      <c r="BT123" s="59"/>
      <c r="BV123" s="59"/>
      <c r="BW123" s="184"/>
    </row>
    <row r="124" spans="2:75" x14ac:dyDescent="0.2">
      <c r="B124"/>
      <c r="AQ124" s="57" t="s">
        <v>536</v>
      </c>
      <c r="AV124" s="54"/>
      <c r="BF124" s="76"/>
      <c r="BN124" s="184"/>
      <c r="BO124" s="184"/>
      <c r="BP124" s="184"/>
      <c r="BQ124" s="184"/>
      <c r="BS124" s="184"/>
      <c r="BT124" s="59"/>
      <c r="BV124" s="59"/>
      <c r="BW124" s="184"/>
    </row>
    <row r="125" spans="2:75" x14ac:dyDescent="0.2">
      <c r="B125"/>
      <c r="AQ125" t="s">
        <v>537</v>
      </c>
      <c r="AU125" s="77">
        <v>0.33</v>
      </c>
      <c r="AW125" s="77">
        <v>0.33</v>
      </c>
      <c r="AY125" s="77">
        <v>0.33</v>
      </c>
      <c r="BA125" s="77">
        <v>0.33</v>
      </c>
      <c r="BF125" s="76"/>
      <c r="BM125" s="57" t="s">
        <v>538</v>
      </c>
    </row>
    <row r="126" spans="2:75" x14ac:dyDescent="0.2">
      <c r="B126"/>
      <c r="AQ126" s="6" t="s">
        <v>293</v>
      </c>
      <c r="AU126" s="78">
        <v>0.05</v>
      </c>
      <c r="AV126" s="69"/>
      <c r="AW126" s="78">
        <v>0.05</v>
      </c>
      <c r="AX126" s="69"/>
      <c r="AY126" s="78">
        <v>0.05</v>
      </c>
      <c r="AZ126" s="69"/>
      <c r="BA126" s="78">
        <v>0.05</v>
      </c>
      <c r="BB126" s="69"/>
      <c r="BF126" s="76"/>
      <c r="BG126" s="57" t="s">
        <v>539</v>
      </c>
      <c r="BL126" s="184">
        <f>+AV4+AU4</f>
        <v>139.5565313557143</v>
      </c>
    </row>
    <row r="127" spans="2:75" x14ac:dyDescent="0.2">
      <c r="B127"/>
      <c r="AQ127" s="12" t="s">
        <v>296</v>
      </c>
      <c r="AU127" s="78">
        <v>1.4999999999999999E-2</v>
      </c>
      <c r="AW127" s="78">
        <v>1.4999999999999999E-2</v>
      </c>
      <c r="AY127" s="78">
        <v>1.4999999999999999E-2</v>
      </c>
      <c r="BA127" s="78">
        <v>1.4999999999999999E-2</v>
      </c>
      <c r="BF127" s="76"/>
      <c r="BG127" s="163" t="s">
        <v>289</v>
      </c>
      <c r="BL127" s="59">
        <f>-BL115</f>
        <v>-2.8203999999999998</v>
      </c>
      <c r="BM127" s="59">
        <f>+BL127</f>
        <v>-2.8203999999999998</v>
      </c>
    </row>
    <row r="128" spans="2:75" x14ac:dyDescent="0.2">
      <c r="B128"/>
      <c r="AQ128" s="12" t="s">
        <v>145</v>
      </c>
      <c r="AU128" s="79">
        <v>3.4910999999999999</v>
      </c>
      <c r="AW128" s="79">
        <v>3.4910999999999999</v>
      </c>
      <c r="AY128" s="79">
        <v>3.4910999999999999</v>
      </c>
      <c r="BA128" s="79">
        <v>3.4910999999999999</v>
      </c>
      <c r="BF128" s="76"/>
      <c r="BG128" s="161" t="s">
        <v>540</v>
      </c>
      <c r="BL128" s="59">
        <v>0</v>
      </c>
      <c r="BM128" s="59"/>
    </row>
    <row r="129" spans="2:65" x14ac:dyDescent="0.2">
      <c r="B129"/>
      <c r="AQ129" s="12" t="s">
        <v>300</v>
      </c>
      <c r="AU129" s="78">
        <v>0.01</v>
      </c>
      <c r="AW129" s="78">
        <v>0.01</v>
      </c>
      <c r="AY129" s="78">
        <v>0.01</v>
      </c>
      <c r="BA129" s="78">
        <v>0.01</v>
      </c>
      <c r="BF129" s="76"/>
      <c r="BG129" s="162" t="s">
        <v>290</v>
      </c>
      <c r="BL129" s="59">
        <f>-BN115</f>
        <v>-1.3699999999999994</v>
      </c>
      <c r="BM129" s="59">
        <f>+BL129</f>
        <v>-1.3699999999999994</v>
      </c>
    </row>
    <row r="130" spans="2:65" x14ac:dyDescent="0.2">
      <c r="B130"/>
      <c r="AQ130" s="12"/>
      <c r="AU130" s="80"/>
      <c r="AV130" s="70"/>
      <c r="AW130" s="80"/>
      <c r="AX130" s="70"/>
      <c r="AY130" s="80"/>
      <c r="AZ130" s="70"/>
      <c r="BA130" s="80"/>
      <c r="BB130" s="70"/>
      <c r="BF130" s="76"/>
      <c r="BG130" s="181" t="s">
        <v>291</v>
      </c>
      <c r="BL130" s="59">
        <f>-BO115</f>
        <v>-0.35599999999999993</v>
      </c>
      <c r="BM130" s="59">
        <f>+BL130</f>
        <v>-0.35599999999999993</v>
      </c>
    </row>
    <row r="131" spans="2:65" x14ac:dyDescent="0.2">
      <c r="B131"/>
      <c r="AU131" s="80"/>
      <c r="AW131" s="80"/>
      <c r="AY131" s="80"/>
      <c r="BA131" s="80"/>
      <c r="BF131" s="76"/>
      <c r="BG131" t="s">
        <v>494</v>
      </c>
      <c r="BL131" s="59">
        <f>-BP115</f>
        <v>-0.52929999999999988</v>
      </c>
      <c r="BM131" s="59">
        <f>+BL131</f>
        <v>-0.52929999999999988</v>
      </c>
    </row>
    <row r="132" spans="2:65" ht="15" x14ac:dyDescent="0.25">
      <c r="B132"/>
      <c r="AQ132" s="71" t="s">
        <v>292</v>
      </c>
      <c r="AR132" s="2"/>
      <c r="AS132" s="3"/>
      <c r="AT132" s="3"/>
      <c r="AU132" s="81"/>
      <c r="AV132" s="65">
        <f>SUM(AV6:AV13)+AV22+AV28+AV29+AV105+AV107</f>
        <v>103.05909448571428</v>
      </c>
      <c r="AW132" s="81"/>
      <c r="AX132" s="65">
        <f>SUM(AX6:AX13)+AX22+AX28+AX29+AX105+AX107</f>
        <v>94.85639448571429</v>
      </c>
      <c r="AY132" s="81"/>
      <c r="AZ132" s="65">
        <f>SUM(AZ6:AZ13)+AZ22+AZ28+AZ29+AZ105+AZ107</f>
        <v>92.002094485714281</v>
      </c>
      <c r="BA132" s="81"/>
      <c r="BB132" s="65">
        <f>SUM(BB6:BB13)+BB22+BB28+BB29+BB105+BB107</f>
        <v>84.015294485714278</v>
      </c>
      <c r="BF132" s="76"/>
      <c r="BG132" t="s">
        <v>541</v>
      </c>
      <c r="BL132" s="59">
        <f>-BS115</f>
        <v>-14.520000000000003</v>
      </c>
      <c r="BM132" s="59"/>
    </row>
    <row r="133" spans="2:65" ht="15" x14ac:dyDescent="0.25">
      <c r="B133"/>
      <c r="AQ133" s="6" t="s">
        <v>293</v>
      </c>
      <c r="AR133" s="7"/>
      <c r="AS133" s="5"/>
      <c r="AT133" s="5"/>
      <c r="AU133" s="82">
        <v>2.5999999999999999E-2</v>
      </c>
      <c r="AV133" s="74">
        <f>+AV132*AU133</f>
        <v>2.6795364566285711</v>
      </c>
      <c r="AW133" s="82">
        <v>2.5999999999999999E-2</v>
      </c>
      <c r="AX133" s="74">
        <f>+AX132*AW133</f>
        <v>2.4662662566285714</v>
      </c>
      <c r="AY133" s="82">
        <v>2.5000000000000001E-2</v>
      </c>
      <c r="AZ133" s="74">
        <f>+AZ132*AY133</f>
        <v>2.300052362142857</v>
      </c>
      <c r="BA133" s="82">
        <v>2.5000000000000001E-2</v>
      </c>
      <c r="BB133" s="74">
        <f>+BB132*BA133</f>
        <v>2.1003823621428572</v>
      </c>
      <c r="BC133" s="4"/>
      <c r="BD133" s="4"/>
      <c r="BF133" s="76"/>
      <c r="BG133" t="s">
        <v>542</v>
      </c>
      <c r="BK133" s="59" t="e">
        <f>-BV115</f>
        <v>#REF!</v>
      </c>
      <c r="BL133" s="59"/>
      <c r="BM133" s="59"/>
    </row>
    <row r="134" spans="2:65" x14ac:dyDescent="0.2">
      <c r="B134"/>
      <c r="AQ134" s="6" t="s">
        <v>294</v>
      </c>
      <c r="AR134" s="9"/>
      <c r="AS134" s="10" t="s">
        <v>295</v>
      </c>
      <c r="AT134" s="5"/>
      <c r="AU134" s="83">
        <v>2.73</v>
      </c>
      <c r="AV134" s="74">
        <f>+AU134</f>
        <v>2.73</v>
      </c>
      <c r="AW134" s="83">
        <v>2.73</v>
      </c>
      <c r="AX134" s="74">
        <f>+AW134</f>
        <v>2.73</v>
      </c>
      <c r="AY134" s="83">
        <v>2.73</v>
      </c>
      <c r="AZ134" s="74">
        <f>+AY134</f>
        <v>2.73</v>
      </c>
      <c r="BA134" s="83">
        <v>2.73</v>
      </c>
      <c r="BB134" s="74">
        <f>+BA134</f>
        <v>2.73</v>
      </c>
      <c r="BC134" s="8"/>
      <c r="BD134" s="8"/>
      <c r="BF134" s="76"/>
      <c r="BG134" t="s">
        <v>543</v>
      </c>
      <c r="BL134" s="59">
        <f>-BQ115</f>
        <v>-1.5882000000000001</v>
      </c>
      <c r="BM134" s="59">
        <f>+BL134</f>
        <v>-1.5882000000000001</v>
      </c>
    </row>
    <row r="135" spans="2:65" x14ac:dyDescent="0.2">
      <c r="B135"/>
      <c r="AQ135" s="12" t="s">
        <v>296</v>
      </c>
      <c r="AR135" s="7"/>
      <c r="AS135" s="11"/>
      <c r="AT135" s="11"/>
      <c r="AU135" s="82">
        <v>1.0999999999999999E-2</v>
      </c>
      <c r="AV135" s="75">
        <f>+(+AV132-AV48)*AU135</f>
        <v>1.1230900393428571</v>
      </c>
      <c r="AW135" s="82">
        <v>1.0999999999999999E-2</v>
      </c>
      <c r="AX135" s="75">
        <f>+(+AX132-AX48)*AW135</f>
        <v>1.0328603393428573</v>
      </c>
      <c r="AY135" s="82">
        <v>1.0999999999999999E-2</v>
      </c>
      <c r="AZ135" s="75">
        <f>+(+AZ132-AZ48)*AY135</f>
        <v>1.0014630393428572</v>
      </c>
      <c r="BA135" s="82">
        <v>1.0999999999999999E-2</v>
      </c>
      <c r="BB135" s="75">
        <f>+(+BB132-BB48)*BA135</f>
        <v>0.91360823934285706</v>
      </c>
      <c r="BC135" s="8"/>
      <c r="BD135" s="8"/>
      <c r="BF135" s="76"/>
      <c r="BG135" t="s">
        <v>308</v>
      </c>
      <c r="BL135" s="59">
        <f>-BW115</f>
        <v>-3.5050368699999996</v>
      </c>
      <c r="BM135" s="59"/>
    </row>
    <row r="136" spans="2:65" x14ac:dyDescent="0.2">
      <c r="B136"/>
      <c r="AQ136" s="12" t="s">
        <v>297</v>
      </c>
      <c r="AR136" s="7"/>
      <c r="AS136" s="11"/>
      <c r="AT136" s="11"/>
      <c r="AU136" s="82"/>
      <c r="AV136" s="75">
        <v>0.14000000000000001</v>
      </c>
      <c r="AW136" s="82"/>
      <c r="AX136" s="75">
        <v>0.14000000000000001</v>
      </c>
      <c r="AY136" s="82"/>
      <c r="AZ136" s="75">
        <v>0.14000000000000001</v>
      </c>
      <c r="BA136" s="82"/>
      <c r="BB136" s="75">
        <v>0.14000000000000001</v>
      </c>
      <c r="BC136" s="13"/>
      <c r="BD136" s="13"/>
      <c r="BF136" s="76"/>
      <c r="BG136" t="s">
        <v>544</v>
      </c>
      <c r="BL136" s="184">
        <f>SUM(BL126:BL135)</f>
        <v>114.86759448571428</v>
      </c>
      <c r="BM136" s="184">
        <f>SUM(BM126:BM135)</f>
        <v>-6.6638999999999999</v>
      </c>
    </row>
    <row r="137" spans="2:65" x14ac:dyDescent="0.2">
      <c r="B137"/>
      <c r="AQ137" s="12" t="s">
        <v>298</v>
      </c>
      <c r="AR137" s="7"/>
      <c r="AS137" s="11"/>
      <c r="AT137" s="11"/>
      <c r="AU137" s="82"/>
      <c r="AV137" s="75">
        <f>+AV55</f>
        <v>41.657436869999998</v>
      </c>
      <c r="AW137" s="82"/>
      <c r="AX137" s="75">
        <f>+AX55</f>
        <v>39.934245569999995</v>
      </c>
      <c r="AY137" s="82"/>
      <c r="AZ137" s="75">
        <v>0</v>
      </c>
      <c r="BA137" s="82"/>
      <c r="BB137" s="75">
        <v>0</v>
      </c>
      <c r="BC137" s="13"/>
      <c r="BD137" s="13"/>
      <c r="BF137" s="76"/>
      <c r="BG137" t="s">
        <v>545</v>
      </c>
      <c r="BL137" s="59" t="e">
        <f>-BK133+BB104</f>
        <v>#REF!</v>
      </c>
    </row>
    <row r="138" spans="2:65" x14ac:dyDescent="0.2">
      <c r="B138"/>
      <c r="AQ138" s="12" t="s">
        <v>299</v>
      </c>
      <c r="AR138" s="7"/>
      <c r="AS138" s="11"/>
      <c r="AT138" s="11"/>
      <c r="AU138" s="82"/>
      <c r="AV138" s="75"/>
      <c r="AW138" s="82"/>
      <c r="AX138" s="75"/>
      <c r="AY138" s="82"/>
      <c r="AZ138" s="75"/>
      <c r="BA138" s="82"/>
      <c r="BB138" s="75"/>
      <c r="BC138" s="13"/>
      <c r="BD138" s="13"/>
      <c r="BF138" s="76"/>
      <c r="BG138" t="s">
        <v>546</v>
      </c>
      <c r="BL138" s="59" t="e">
        <f>+BL136-BL137</f>
        <v>#REF!</v>
      </c>
    </row>
    <row r="139" spans="2:65" x14ac:dyDescent="0.2">
      <c r="B139"/>
      <c r="AP139" s="1"/>
      <c r="AQ139" s="15" t="s">
        <v>300</v>
      </c>
      <c r="AR139" s="7"/>
      <c r="AU139" s="82">
        <v>2.4E-2</v>
      </c>
      <c r="AV139" s="74">
        <f>SUM(AV132:AV137)*AU139</f>
        <v>3.6333397884404568</v>
      </c>
      <c r="AW139" s="82">
        <v>2.4E-2</v>
      </c>
      <c r="AX139" s="74">
        <f>SUM(AX132:AX137)*AW139</f>
        <v>3.3878343996404574</v>
      </c>
      <c r="AY139" s="82">
        <v>2.4E-2</v>
      </c>
      <c r="AZ139" s="74">
        <f>SUM(AZ132:AZ137)*AY139</f>
        <v>2.3561666372927998</v>
      </c>
      <c r="BA139" s="82">
        <v>2.4E-2</v>
      </c>
      <c r="BB139" s="74">
        <f>SUM(BB132:BB137)*BA139</f>
        <v>2.1575828420928</v>
      </c>
      <c r="BC139" s="13"/>
      <c r="BD139" s="13"/>
      <c r="BF139" s="76"/>
      <c r="BL139" s="59"/>
    </row>
    <row r="140" spans="2:65" x14ac:dyDescent="0.2">
      <c r="B140"/>
      <c r="AP140" s="5"/>
      <c r="AU140" s="84"/>
      <c r="AW140" s="84"/>
      <c r="AY140" s="84"/>
      <c r="BA140" s="84"/>
      <c r="BC140" s="8"/>
      <c r="BD140" s="8"/>
      <c r="BF140" s="76"/>
    </row>
    <row r="141" spans="2:65" x14ac:dyDescent="0.2">
      <c r="B141"/>
      <c r="AP141" s="5"/>
      <c r="BC141" s="18"/>
      <c r="BD141" s="18"/>
      <c r="BF141" s="76"/>
    </row>
    <row r="142" spans="2:65" ht="15" x14ac:dyDescent="0.25">
      <c r="B142"/>
      <c r="AP142" s="11"/>
      <c r="AQ142" s="2" t="s">
        <v>301</v>
      </c>
      <c r="AR142" s="2"/>
      <c r="AS142" s="3"/>
      <c r="AT142" s="3"/>
      <c r="AU142" s="2"/>
      <c r="AV142" s="73">
        <f>SUM(AV132:AV139)</f>
        <v>155.02249764012615</v>
      </c>
      <c r="AW142" s="2"/>
      <c r="AX142" s="73">
        <f>SUM(AX132:AX139)</f>
        <v>144.54760105132618</v>
      </c>
      <c r="AY142" s="2"/>
      <c r="AZ142" s="73">
        <f>SUM(AZ132:AZ139)</f>
        <v>100.52977652449279</v>
      </c>
      <c r="BA142" s="2"/>
      <c r="BB142" s="73">
        <f>SUM(BB132:BB139)</f>
        <v>92.056867929292792</v>
      </c>
      <c r="BC142" s="18"/>
      <c r="BD142" s="18"/>
      <c r="BF142" s="76"/>
    </row>
    <row r="143" spans="2:65" ht="15" x14ac:dyDescent="0.25">
      <c r="B143"/>
      <c r="AP143" s="11"/>
      <c r="AQ143" s="2"/>
      <c r="AR143" s="2"/>
      <c r="AS143" s="3"/>
      <c r="AT143" s="3"/>
      <c r="AU143" s="2"/>
      <c r="AV143" s="73"/>
      <c r="AW143" s="2"/>
      <c r="AX143" s="73"/>
      <c r="AY143" s="2"/>
      <c r="AZ143" s="73"/>
      <c r="BA143" s="2"/>
      <c r="BB143" s="73"/>
      <c r="BC143" s="4"/>
      <c r="BD143" s="4"/>
      <c r="BF143" s="76"/>
    </row>
    <row r="144" spans="2:65" x14ac:dyDescent="0.2">
      <c r="B144"/>
      <c r="AN144" s="304"/>
    </row>
    <row r="145" spans="2:40" x14ac:dyDescent="0.2">
      <c r="B145"/>
      <c r="AN145" s="304"/>
    </row>
    <row r="146" spans="2:40" x14ac:dyDescent="0.2">
      <c r="B146"/>
    </row>
    <row r="147" spans="2:40" x14ac:dyDescent="0.2">
      <c r="B147"/>
    </row>
    <row r="148" spans="2:40" x14ac:dyDescent="0.2">
      <c r="B148"/>
    </row>
    <row r="149" spans="2:40" x14ac:dyDescent="0.2">
      <c r="B149"/>
    </row>
    <row r="150" spans="2:40" x14ac:dyDescent="0.2">
      <c r="B150"/>
    </row>
    <row r="151" spans="2:40" x14ac:dyDescent="0.2">
      <c r="B151"/>
    </row>
    <row r="152" spans="2:40" x14ac:dyDescent="0.2">
      <c r="B152"/>
    </row>
    <row r="153" spans="2:40" x14ac:dyDescent="0.2">
      <c r="B153"/>
    </row>
    <row r="154" spans="2:40" x14ac:dyDescent="0.2">
      <c r="B154"/>
    </row>
    <row r="155" spans="2:40" x14ac:dyDescent="0.2">
      <c r="B155"/>
    </row>
    <row r="156" spans="2:40" x14ac:dyDescent="0.2">
      <c r="B156"/>
    </row>
    <row r="157" spans="2:40" x14ac:dyDescent="0.2">
      <c r="B157"/>
    </row>
    <row r="158" spans="2:40" x14ac:dyDescent="0.2">
      <c r="B158"/>
    </row>
    <row r="159" spans="2:40" x14ac:dyDescent="0.2">
      <c r="B159"/>
    </row>
    <row r="160" spans="2:40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</sheetData>
  <printOptions gridLines="1" gridLinesSet="0"/>
  <pageMargins left="0.75" right="0.75" top="1" bottom="1" header="0.511811024" footer="0.511811024"/>
  <pageSetup orientation="portrait" horizontalDpi="300" verticalDpi="300" r:id="rId1"/>
  <headerFooter alignWithMargins="0">
    <oddHeader>&amp;A</oddHeader>
    <oddFooter>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BOM - VAdded</vt:lpstr>
      <vt:lpstr>Comparison</vt:lpstr>
      <vt:lpstr>Top Level</vt:lpstr>
      <vt:lpstr>PCA</vt:lpstr>
      <vt:lpstr>Cost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dcterms:created xsi:type="dcterms:W3CDTF">2020-09-04T04:20:40Z</dcterms:created>
  <dcterms:modified xsi:type="dcterms:W3CDTF">2020-09-04T04:20:40Z</dcterms:modified>
</cp:coreProperties>
</file>